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V:\EngServ\Asset&amp;Design\_Projects\2024-25\Drainage_24-25\Drainage Calculator\Certified Drainage Calculator - use this\Public access\"/>
    </mc:Choice>
  </mc:AlternateContent>
  <xr:revisionPtr revIDLastSave="0" documentId="14_{C0EC8F7E-9D09-48BE-A9EE-79D4A8666F79}" xr6:coauthVersionLast="47" xr6:coauthVersionMax="47" xr10:uidLastSave="{00000000-0000-0000-0000-000000000000}"/>
  <bookViews>
    <workbookView xWindow="28680" yWindow="15" windowWidth="29040" windowHeight="15720" tabRatio="714" xr2:uid="{F0CEE1EF-1577-49D0-B428-E8BBBDC7E4E0}"/>
  </bookViews>
  <sheets>
    <sheet name="Drainage calculator" sheetId="7" r:id="rId1"/>
    <sheet name="Input-Rainfall Data" sheetId="9" state="hidden" r:id="rId2"/>
    <sheet name="Design Parameters" sheetId="11" state="hidden" r:id="rId3"/>
    <sheet name="OSD Mass-Curve" sheetId="13" state="hidden" r:id="rId4"/>
    <sheet name="Output-Analysis " sheetId="12" state="hidden" r:id="rId5"/>
  </sheets>
  <definedNames>
    <definedName name="_xlnm.Print_Area" localSheetId="0">'Drainage calculator'!$A$1:$I$97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9" l="1"/>
  <c r="G47" i="7" l="1"/>
  <c r="G49" i="7"/>
  <c r="G48" i="7"/>
  <c r="G57" i="7"/>
  <c r="G58" i="7"/>
  <c r="G56" i="7"/>
  <c r="G59" i="7" l="1"/>
  <c r="F74" i="7" s="1"/>
  <c r="F37" i="7" l="1"/>
  <c r="H37" i="12" l="1"/>
  <c r="H74" i="12"/>
  <c r="F38" i="7"/>
  <c r="A80" i="7"/>
  <c r="H111" i="12"/>
  <c r="C5" i="12" l="1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4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F25" i="7"/>
  <c r="F28" i="7" s="1"/>
  <c r="B2" i="13"/>
  <c r="B10" i="13" s="1" a="1"/>
  <c r="B10" i="13" s="1"/>
  <c r="B1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51" i="13"/>
  <c r="G52" i="13"/>
  <c r="G53" i="13"/>
  <c r="G54" i="13"/>
  <c r="G55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" i="13"/>
  <c r="B3" i="13"/>
  <c r="V74" i="9"/>
  <c r="U74" i="9"/>
  <c r="T74" i="9"/>
  <c r="S74" i="9"/>
  <c r="R74" i="9"/>
  <c r="V68" i="9"/>
  <c r="V69" i="9" s="1"/>
  <c r="V70" i="9" s="1"/>
  <c r="V71" i="9" s="1"/>
  <c r="V72" i="9" s="1"/>
  <c r="V73" i="9" s="1"/>
  <c r="U68" i="9"/>
  <c r="U69" i="9" s="1"/>
  <c r="U70" i="9" s="1"/>
  <c r="U71" i="9" s="1"/>
  <c r="U72" i="9" s="1"/>
  <c r="U73" i="9" s="1"/>
  <c r="T68" i="9"/>
  <c r="T69" i="9" s="1"/>
  <c r="T70" i="9" s="1"/>
  <c r="T71" i="9" s="1"/>
  <c r="T72" i="9" s="1"/>
  <c r="T73" i="9" s="1"/>
  <c r="S68" i="9"/>
  <c r="S69" i="9" s="1"/>
  <c r="S70" i="9" s="1"/>
  <c r="S71" i="9" s="1"/>
  <c r="S72" i="9" s="1"/>
  <c r="S73" i="9" s="1"/>
  <c r="R68" i="9"/>
  <c r="R69" i="9" s="1"/>
  <c r="R70" i="9" s="1"/>
  <c r="R71" i="9" s="1"/>
  <c r="R72" i="9" s="1"/>
  <c r="R73" i="9" s="1"/>
  <c r="S60" i="9"/>
  <c r="S61" i="9" s="1"/>
  <c r="U60" i="9"/>
  <c r="U61" i="9" s="1"/>
  <c r="V62" i="9"/>
  <c r="U62" i="9"/>
  <c r="T62" i="9"/>
  <c r="T60" i="9" s="1"/>
  <c r="T61" i="9" s="1"/>
  <c r="S62" i="9"/>
  <c r="R62" i="9"/>
  <c r="V59" i="9"/>
  <c r="V60" i="9" s="1"/>
  <c r="V61" i="9" s="1"/>
  <c r="U59" i="9"/>
  <c r="T59" i="9"/>
  <c r="S59" i="9"/>
  <c r="R59" i="9"/>
  <c r="R60" i="9" s="1"/>
  <c r="R61" i="9" s="1"/>
  <c r="V56" i="9"/>
  <c r="V57" i="9" s="1"/>
  <c r="V58" i="9" s="1"/>
  <c r="U56" i="9"/>
  <c r="U57" i="9" s="1"/>
  <c r="U58" i="9" s="1"/>
  <c r="T56" i="9"/>
  <c r="S56" i="9"/>
  <c r="R56" i="9"/>
  <c r="R57" i="9" s="1"/>
  <c r="R58" i="9" s="1"/>
  <c r="V46" i="9"/>
  <c r="V47" i="9" s="1"/>
  <c r="V48" i="9" s="1"/>
  <c r="V49" i="9" s="1"/>
  <c r="V50" i="9" s="1"/>
  <c r="V51" i="9" s="1"/>
  <c r="V52" i="9" s="1"/>
  <c r="V53" i="9" s="1"/>
  <c r="V54" i="9" s="1"/>
  <c r="V55" i="9" s="1"/>
  <c r="U46" i="9"/>
  <c r="U37" i="9" s="1"/>
  <c r="U38" i="9" s="1"/>
  <c r="U39" i="9" s="1"/>
  <c r="U40" i="9" s="1"/>
  <c r="U41" i="9" s="1"/>
  <c r="U42" i="9" s="1"/>
  <c r="U43" i="9" s="1"/>
  <c r="U44" i="9" s="1"/>
  <c r="U45" i="9" s="1"/>
  <c r="T46" i="9"/>
  <c r="T37" i="9" s="1"/>
  <c r="T38" i="9" s="1"/>
  <c r="T39" i="9" s="1"/>
  <c r="T40" i="9" s="1"/>
  <c r="T41" i="9" s="1"/>
  <c r="T42" i="9" s="1"/>
  <c r="T43" i="9" s="1"/>
  <c r="T44" i="9" s="1"/>
  <c r="T45" i="9" s="1"/>
  <c r="S46" i="9"/>
  <c r="R46" i="9"/>
  <c r="V36" i="9"/>
  <c r="U36" i="9"/>
  <c r="T36" i="9"/>
  <c r="S36" i="9"/>
  <c r="R36" i="9"/>
  <c r="V26" i="9"/>
  <c r="V27" i="9" s="1"/>
  <c r="V28" i="9" s="1"/>
  <c r="V29" i="9" s="1"/>
  <c r="V30" i="9" s="1"/>
  <c r="V31" i="9" s="1"/>
  <c r="V32" i="9" s="1"/>
  <c r="V33" i="9" s="1"/>
  <c r="V34" i="9" s="1"/>
  <c r="V35" i="9" s="1"/>
  <c r="U26" i="9"/>
  <c r="U27" i="9" s="1"/>
  <c r="U28" i="9" s="1"/>
  <c r="U29" i="9" s="1"/>
  <c r="U30" i="9" s="1"/>
  <c r="U31" i="9" s="1"/>
  <c r="U32" i="9" s="1"/>
  <c r="U33" i="9" s="1"/>
  <c r="U34" i="9" s="1"/>
  <c r="U35" i="9" s="1"/>
  <c r="T26" i="9"/>
  <c r="T27" i="9" s="1"/>
  <c r="T28" i="9" s="1"/>
  <c r="T29" i="9" s="1"/>
  <c r="T30" i="9" s="1"/>
  <c r="T31" i="9" s="1"/>
  <c r="T32" i="9" s="1"/>
  <c r="T33" i="9" s="1"/>
  <c r="T34" i="9" s="1"/>
  <c r="T35" i="9" s="1"/>
  <c r="S26" i="9"/>
  <c r="S27" i="9" s="1"/>
  <c r="S28" i="9" s="1"/>
  <c r="S29" i="9" s="1"/>
  <c r="S30" i="9" s="1"/>
  <c r="S31" i="9" s="1"/>
  <c r="S32" i="9" s="1"/>
  <c r="S33" i="9" s="1"/>
  <c r="S34" i="9" s="1"/>
  <c r="S35" i="9" s="1"/>
  <c r="R26" i="9"/>
  <c r="S7" i="9"/>
  <c r="S8" i="9" s="1"/>
  <c r="S9" i="9" s="1"/>
  <c r="S10" i="9" s="1"/>
  <c r="S11" i="9" s="1"/>
  <c r="S12" i="9" s="1"/>
  <c r="S13" i="9" s="1"/>
  <c r="S14" i="9" s="1"/>
  <c r="S15" i="9" s="1"/>
  <c r="S16" i="9"/>
  <c r="T16" i="9"/>
  <c r="T7" i="9" s="1"/>
  <c r="T8" i="9" s="1"/>
  <c r="T9" i="9" s="1"/>
  <c r="T10" i="9" s="1"/>
  <c r="T11" i="9" s="1"/>
  <c r="T12" i="9" s="1"/>
  <c r="T13" i="9" s="1"/>
  <c r="T14" i="9" s="1"/>
  <c r="T15" i="9" s="1"/>
  <c r="U16" i="9"/>
  <c r="V16" i="9"/>
  <c r="R16" i="9"/>
  <c r="V6" i="9"/>
  <c r="V7" i="9" s="1"/>
  <c r="V8" i="9" s="1"/>
  <c r="V9" i="9" s="1"/>
  <c r="V10" i="9" s="1"/>
  <c r="V11" i="9" s="1"/>
  <c r="V12" i="9" s="1"/>
  <c r="V13" i="9" s="1"/>
  <c r="V14" i="9" s="1"/>
  <c r="V15" i="9" s="1"/>
  <c r="U6" i="9"/>
  <c r="U7" i="9" s="1"/>
  <c r="U8" i="9" s="1"/>
  <c r="U9" i="9" s="1"/>
  <c r="U10" i="9" s="1"/>
  <c r="U11" i="9" s="1"/>
  <c r="U12" i="9" s="1"/>
  <c r="U13" i="9" s="1"/>
  <c r="U14" i="9" s="1"/>
  <c r="U15" i="9" s="1"/>
  <c r="T6" i="9"/>
  <c r="S6" i="9"/>
  <c r="R6" i="9"/>
  <c r="F69" i="13" l="1"/>
  <c r="F9" i="13"/>
  <c r="F27" i="7" a="1"/>
  <c r="F27" i="7" s="1"/>
  <c r="F39" i="7" s="1"/>
  <c r="B41" i="13" a="1"/>
  <c r="B41" i="13" s="1"/>
  <c r="B61" i="13" a="1"/>
  <c r="B61" i="13" s="1"/>
  <c r="B52" i="13" a="1"/>
  <c r="B52" i="13" s="1"/>
  <c r="B42" i="13" a="1"/>
  <c r="B42" i="13" s="1"/>
  <c r="B72" i="13" a="1"/>
  <c r="B72" i="13" s="1"/>
  <c r="F50" i="13"/>
  <c r="F45" i="13"/>
  <c r="F62" i="13"/>
  <c r="B54" i="13" a="1"/>
  <c r="B54" i="13" s="1"/>
  <c r="B73" i="13" a="1"/>
  <c r="B73" i="13" s="1"/>
  <c r="B53" i="13" a="1"/>
  <c r="B53" i="13" s="1"/>
  <c r="B55" i="13" a="1"/>
  <c r="B55" i="13" s="1"/>
  <c r="F21" i="13"/>
  <c r="B28" i="13" a="1"/>
  <c r="B28" i="13" s="1"/>
  <c r="F57" i="13"/>
  <c r="F74" i="13"/>
  <c r="B48" i="13" a="1"/>
  <c r="B48" i="13" s="1"/>
  <c r="F33" i="13"/>
  <c r="F38" i="13"/>
  <c r="F55" i="13"/>
  <c r="F31" i="13"/>
  <c r="F65" i="13"/>
  <c r="F53" i="13"/>
  <c r="F41" i="13"/>
  <c r="F29" i="13"/>
  <c r="F17" i="13"/>
  <c r="F67" i="13"/>
  <c r="F43" i="13"/>
  <c r="F19" i="13"/>
  <c r="F26" i="13"/>
  <c r="F14" i="13"/>
  <c r="F73" i="13"/>
  <c r="F61" i="13"/>
  <c r="F49" i="13"/>
  <c r="F37" i="13"/>
  <c r="F25" i="13"/>
  <c r="F13" i="13"/>
  <c r="F72" i="13"/>
  <c r="F60" i="13"/>
  <c r="F48" i="13"/>
  <c r="F36" i="13"/>
  <c r="F24" i="13"/>
  <c r="F12" i="13"/>
  <c r="F71" i="13"/>
  <c r="F59" i="13"/>
  <c r="F47" i="13"/>
  <c r="F35" i="13"/>
  <c r="F23" i="13"/>
  <c r="F11" i="13"/>
  <c r="F8" i="13"/>
  <c r="F66" i="13"/>
  <c r="F54" i="13"/>
  <c r="F42" i="13"/>
  <c r="F30" i="13"/>
  <c r="F18" i="13"/>
  <c r="F75" i="13"/>
  <c r="F63" i="13"/>
  <c r="F51" i="13"/>
  <c r="F39" i="13"/>
  <c r="F27" i="13"/>
  <c r="F15" i="13"/>
  <c r="F7" i="13"/>
  <c r="F64" i="13"/>
  <c r="F52" i="13"/>
  <c r="F40" i="13"/>
  <c r="F28" i="13"/>
  <c r="F16" i="13"/>
  <c r="F70" i="13"/>
  <c r="F58" i="13"/>
  <c r="F46" i="13"/>
  <c r="F34" i="13"/>
  <c r="F22" i="13"/>
  <c r="F10" i="13"/>
  <c r="F68" i="13"/>
  <c r="F56" i="13"/>
  <c r="F44" i="13"/>
  <c r="F32" i="13"/>
  <c r="F20" i="13"/>
  <c r="B37" i="13" a="1"/>
  <c r="B37" i="13" s="1"/>
  <c r="B25" i="13" a="1"/>
  <c r="B25" i="13" s="1"/>
  <c r="B62" i="13" a="1"/>
  <c r="B62" i="13" s="1"/>
  <c r="B14" i="13" a="1"/>
  <c r="B14" i="13" s="1"/>
  <c r="B35" i="13" a="1"/>
  <c r="B35" i="13" s="1"/>
  <c r="B34" i="13" a="1"/>
  <c r="B34" i="13" s="1"/>
  <c r="B22" i="13" a="1"/>
  <c r="B22" i="13" s="1"/>
  <c r="B57" i="13" a="1"/>
  <c r="B57" i="13" s="1"/>
  <c r="B33" i="13" a="1"/>
  <c r="B33" i="13" s="1"/>
  <c r="B21" i="13" a="1"/>
  <c r="B21" i="13" s="1"/>
  <c r="B9" i="13" a="1"/>
  <c r="B9" i="13" s="1"/>
  <c r="B68" i="13" a="1"/>
  <c r="B68" i="13" s="1"/>
  <c r="B32" i="13" a="1"/>
  <c r="B32" i="13" s="1"/>
  <c r="B75" i="13" a="1"/>
  <c r="B75" i="13" s="1"/>
  <c r="B15" i="13" a="1"/>
  <c r="B15" i="13" s="1"/>
  <c r="B7" i="13" a="1"/>
  <c r="B7" i="13" s="1"/>
  <c r="B56" i="13" a="1"/>
  <c r="B56" i="13" s="1"/>
  <c r="B36" i="13" a="1"/>
  <c r="B36" i="13" s="1"/>
  <c r="B16" i="13" a="1"/>
  <c r="B16" i="13" s="1"/>
  <c r="B47" i="13" a="1"/>
  <c r="B47" i="13" s="1"/>
  <c r="B69" i="13" a="1"/>
  <c r="B69" i="13" s="1"/>
  <c r="B64" i="13" a="1"/>
  <c r="B64" i="13" s="1"/>
  <c r="B44" i="13" a="1"/>
  <c r="B44" i="13" s="1"/>
  <c r="B24" i="13" a="1"/>
  <c r="B24" i="13" s="1"/>
  <c r="B63" i="13" a="1"/>
  <c r="B63" i="13" s="1"/>
  <c r="B43" i="13" a="1"/>
  <c r="B43" i="13" s="1"/>
  <c r="B23" i="13" a="1"/>
  <c r="B23" i="13" s="1"/>
  <c r="B12" i="13" a="1"/>
  <c r="B12" i="13" s="1"/>
  <c r="B50" i="13" a="1"/>
  <c r="B50" i="13" s="1"/>
  <c r="B5" i="13"/>
  <c r="B13" i="13" a="1"/>
  <c r="B13" i="13" s="1"/>
  <c r="B60" i="13" a="1"/>
  <c r="B60" i="13" s="1"/>
  <c r="B11" i="13" a="1"/>
  <c r="B11" i="13" s="1"/>
  <c r="B65" i="13" a="1"/>
  <c r="B65" i="13" s="1"/>
  <c r="B45" i="13" a="1"/>
  <c r="B45" i="13" s="1"/>
  <c r="B49" i="13" a="1"/>
  <c r="B49" i="13" s="1"/>
  <c r="B74" i="13" a="1"/>
  <c r="B74" i="13" s="1"/>
  <c r="B59" i="13" a="1"/>
  <c r="B59" i="13" s="1"/>
  <c r="B39" i="13" a="1"/>
  <c r="B39" i="13" s="1"/>
  <c r="B58" i="13" a="1"/>
  <c r="B58" i="13" s="1"/>
  <c r="B71" i="13" a="1"/>
  <c r="B71" i="13" s="1"/>
  <c r="B51" i="13" a="1"/>
  <c r="B51" i="13" s="1"/>
  <c r="B70" i="13" a="1"/>
  <c r="B70" i="13" s="1"/>
  <c r="B30" i="13" a="1"/>
  <c r="B30" i="13" s="1"/>
  <c r="B31" i="13" a="1"/>
  <c r="B31" i="13" s="1"/>
  <c r="B19" i="13" a="1"/>
  <c r="B19" i="13" s="1"/>
  <c r="B38" i="13" a="1"/>
  <c r="B38" i="13" s="1"/>
  <c r="B17" i="13" a="1"/>
  <c r="B17" i="13" s="1"/>
  <c r="B18" i="13" a="1"/>
  <c r="B18" i="13" s="1"/>
  <c r="B40" i="13" a="1"/>
  <c r="B40" i="13" s="1"/>
  <c r="B20" i="13" a="1"/>
  <c r="B20" i="13" s="1"/>
  <c r="B46" i="13" a="1"/>
  <c r="B46" i="13" s="1"/>
  <c r="B67" i="13" a="1"/>
  <c r="B67" i="13" s="1"/>
  <c r="B29" i="13" a="1"/>
  <c r="B29" i="13" s="1"/>
  <c r="B66" i="13" a="1"/>
  <c r="B66" i="13" s="1"/>
  <c r="B8" i="13" a="1"/>
  <c r="B8" i="13" s="1"/>
  <c r="B27" i="13" a="1"/>
  <c r="B27" i="13" s="1"/>
  <c r="B26" i="13" a="1"/>
  <c r="B26" i="13" s="1"/>
  <c r="T63" i="9"/>
  <c r="T64" i="9" s="1"/>
  <c r="T65" i="9" s="1"/>
  <c r="T66" i="9" s="1"/>
  <c r="T67" i="9" s="1"/>
  <c r="U63" i="9"/>
  <c r="U64" i="9" s="1"/>
  <c r="U65" i="9" s="1"/>
  <c r="U66" i="9" s="1"/>
  <c r="U67" i="9" s="1"/>
  <c r="R63" i="9"/>
  <c r="R64" i="9" s="1"/>
  <c r="R65" i="9" s="1"/>
  <c r="R66" i="9" s="1"/>
  <c r="R67" i="9" s="1"/>
  <c r="R7" i="9"/>
  <c r="R8" i="9" s="1"/>
  <c r="R9" i="9" s="1"/>
  <c r="R10" i="9" s="1"/>
  <c r="R11" i="9" s="1"/>
  <c r="R12" i="9" s="1"/>
  <c r="R13" i="9" s="1"/>
  <c r="R14" i="9" s="1"/>
  <c r="R15" i="9" s="1"/>
  <c r="R17" i="9"/>
  <c r="R18" i="9" s="1"/>
  <c r="R19" i="9" s="1"/>
  <c r="R20" i="9" s="1"/>
  <c r="R21" i="9" s="1"/>
  <c r="R22" i="9" s="1"/>
  <c r="R23" i="9" s="1"/>
  <c r="R24" i="9" s="1"/>
  <c r="R25" i="9" s="1"/>
  <c r="S63" i="9"/>
  <c r="S64" i="9" s="1"/>
  <c r="S65" i="9" s="1"/>
  <c r="S66" i="9" s="1"/>
  <c r="S67" i="9" s="1"/>
  <c r="V63" i="9"/>
  <c r="V64" i="9" s="1"/>
  <c r="V65" i="9" s="1"/>
  <c r="V66" i="9" s="1"/>
  <c r="V67" i="9" s="1"/>
  <c r="T17" i="9"/>
  <c r="T18" i="9" s="1"/>
  <c r="T19" i="9" s="1"/>
  <c r="T20" i="9" s="1"/>
  <c r="T21" i="9" s="1"/>
  <c r="T22" i="9" s="1"/>
  <c r="T23" i="9" s="1"/>
  <c r="T24" i="9" s="1"/>
  <c r="T25" i="9" s="1"/>
  <c r="S17" i="9"/>
  <c r="S18" i="9" s="1"/>
  <c r="S19" i="9" s="1"/>
  <c r="S20" i="9" s="1"/>
  <c r="S21" i="9" s="1"/>
  <c r="S22" i="9" s="1"/>
  <c r="S23" i="9" s="1"/>
  <c r="S24" i="9" s="1"/>
  <c r="S25" i="9" s="1"/>
  <c r="S57" i="9"/>
  <c r="S58" i="9" s="1"/>
  <c r="R27" i="9"/>
  <c r="R28" i="9" s="1"/>
  <c r="R29" i="9" s="1"/>
  <c r="R30" i="9" s="1"/>
  <c r="R31" i="9" s="1"/>
  <c r="R32" i="9" s="1"/>
  <c r="R33" i="9" s="1"/>
  <c r="R34" i="9" s="1"/>
  <c r="R35" i="9" s="1"/>
  <c r="T57" i="9"/>
  <c r="T58" i="9" s="1"/>
  <c r="V37" i="9"/>
  <c r="V38" i="9" s="1"/>
  <c r="V39" i="9" s="1"/>
  <c r="V40" i="9" s="1"/>
  <c r="V41" i="9" s="1"/>
  <c r="V42" i="9" s="1"/>
  <c r="V43" i="9" s="1"/>
  <c r="V44" i="9" s="1"/>
  <c r="V45" i="9" s="1"/>
  <c r="R37" i="9"/>
  <c r="R38" i="9" s="1"/>
  <c r="R39" i="9" s="1"/>
  <c r="R40" i="9" s="1"/>
  <c r="R41" i="9" s="1"/>
  <c r="R42" i="9" s="1"/>
  <c r="R43" i="9" s="1"/>
  <c r="R44" i="9" s="1"/>
  <c r="R45" i="9" s="1"/>
  <c r="S37" i="9"/>
  <c r="S38" i="9" s="1"/>
  <c r="S39" i="9" s="1"/>
  <c r="S40" i="9" s="1"/>
  <c r="S41" i="9" s="1"/>
  <c r="S42" i="9" s="1"/>
  <c r="S43" i="9" s="1"/>
  <c r="S44" i="9" s="1"/>
  <c r="S45" i="9" s="1"/>
  <c r="R47" i="9"/>
  <c r="R48" i="9" s="1"/>
  <c r="R49" i="9" s="1"/>
  <c r="R50" i="9" s="1"/>
  <c r="R51" i="9" s="1"/>
  <c r="R52" i="9" s="1"/>
  <c r="R53" i="9" s="1"/>
  <c r="R54" i="9" s="1"/>
  <c r="R55" i="9" s="1"/>
  <c r="V17" i="9"/>
  <c r="V18" i="9" s="1"/>
  <c r="V19" i="9" s="1"/>
  <c r="V20" i="9" s="1"/>
  <c r="V21" i="9" s="1"/>
  <c r="V22" i="9" s="1"/>
  <c r="V23" i="9" s="1"/>
  <c r="V24" i="9" s="1"/>
  <c r="V25" i="9" s="1"/>
  <c r="U17" i="9"/>
  <c r="U18" i="9" s="1"/>
  <c r="U19" i="9" s="1"/>
  <c r="U20" i="9" s="1"/>
  <c r="U21" i="9" s="1"/>
  <c r="U22" i="9" s="1"/>
  <c r="U23" i="9" s="1"/>
  <c r="U24" i="9" s="1"/>
  <c r="U25" i="9" s="1"/>
  <c r="U47" i="9"/>
  <c r="U48" i="9" s="1"/>
  <c r="U49" i="9" s="1"/>
  <c r="U50" i="9" s="1"/>
  <c r="U51" i="9" s="1"/>
  <c r="U52" i="9" s="1"/>
  <c r="U53" i="9" s="1"/>
  <c r="U54" i="9" s="1"/>
  <c r="U55" i="9" s="1"/>
  <c r="T47" i="9"/>
  <c r="T48" i="9" s="1"/>
  <c r="T49" i="9" s="1"/>
  <c r="T50" i="9" s="1"/>
  <c r="T51" i="9" s="1"/>
  <c r="T52" i="9" s="1"/>
  <c r="T53" i="9" s="1"/>
  <c r="T54" i="9" s="1"/>
  <c r="T55" i="9" s="1"/>
  <c r="S47" i="9"/>
  <c r="S48" i="9" s="1"/>
  <c r="S49" i="9" s="1"/>
  <c r="S50" i="9" s="1"/>
  <c r="S51" i="9" s="1"/>
  <c r="S52" i="9" s="1"/>
  <c r="S53" i="9" s="1"/>
  <c r="S54" i="9" s="1"/>
  <c r="S55" i="9" s="1"/>
  <c r="H8" i="7" l="1"/>
  <c r="H9" i="7" s="1"/>
  <c r="F34" i="7"/>
  <c r="I48" i="7"/>
  <c r="I49" i="7"/>
  <c r="I47" i="7"/>
  <c r="F20" i="7"/>
  <c r="F21" i="7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5" i="12"/>
  <c r="C96" i="12"/>
  <c r="C97" i="12"/>
  <c r="C98" i="12"/>
  <c r="C99" i="12"/>
  <c r="C100" i="12"/>
  <c r="C101" i="12"/>
  <c r="C102" i="12"/>
  <c r="C103" i="12"/>
  <c r="C104" i="12"/>
  <c r="C105" i="12"/>
  <c r="C106" i="12"/>
  <c r="C41" i="12"/>
  <c r="E41" i="12"/>
  <c r="C42" i="12"/>
  <c r="E42" i="12"/>
  <c r="C43" i="12"/>
  <c r="E43" i="12"/>
  <c r="C44" i="12"/>
  <c r="E44" i="12"/>
  <c r="C45" i="12"/>
  <c r="E45" i="12"/>
  <c r="C46" i="12"/>
  <c r="E46" i="12"/>
  <c r="C47" i="12"/>
  <c r="E47" i="12"/>
  <c r="C48" i="12"/>
  <c r="E48" i="12"/>
  <c r="C49" i="12"/>
  <c r="E49" i="12"/>
  <c r="C50" i="12"/>
  <c r="E50" i="12"/>
  <c r="C51" i="12"/>
  <c r="E51" i="12"/>
  <c r="C52" i="12"/>
  <c r="E52" i="12"/>
  <c r="C53" i="12"/>
  <c r="E53" i="12"/>
  <c r="C54" i="12"/>
  <c r="E54" i="12"/>
  <c r="C55" i="12"/>
  <c r="E55" i="12"/>
  <c r="C56" i="12"/>
  <c r="E56" i="12"/>
  <c r="C57" i="12"/>
  <c r="E57" i="12"/>
  <c r="C58" i="12"/>
  <c r="E58" i="12"/>
  <c r="C59" i="12"/>
  <c r="E59" i="12"/>
  <c r="C60" i="12"/>
  <c r="E60" i="12"/>
  <c r="C61" i="12"/>
  <c r="E61" i="12"/>
  <c r="C62" i="12"/>
  <c r="E62" i="12"/>
  <c r="C63" i="12"/>
  <c r="E63" i="12"/>
  <c r="C64" i="12"/>
  <c r="E64" i="12"/>
  <c r="C65" i="12"/>
  <c r="E65" i="12"/>
  <c r="C66" i="12"/>
  <c r="E66" i="12"/>
  <c r="C67" i="12"/>
  <c r="E67" i="12"/>
  <c r="C68" i="12"/>
  <c r="E68" i="12"/>
  <c r="C69" i="12"/>
  <c r="E69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106" i="12"/>
  <c r="F8" i="7"/>
  <c r="F9" i="7" s="1"/>
  <c r="C63" i="7" l="1"/>
  <c r="G64" i="7" s="1"/>
  <c r="D19" i="12"/>
  <c r="F19" i="12" s="1"/>
  <c r="G19" i="12" s="1"/>
  <c r="D7" i="12"/>
  <c r="F7" i="12" s="1"/>
  <c r="G7" i="12" s="1"/>
  <c r="D14" i="12"/>
  <c r="F14" i="12" s="1"/>
  <c r="G14" i="12" s="1"/>
  <c r="D22" i="12"/>
  <c r="F22" i="12" s="1"/>
  <c r="G22" i="12" s="1"/>
  <c r="D29" i="12"/>
  <c r="F29" i="12" s="1"/>
  <c r="G29" i="12" s="1"/>
  <c r="D23" i="12"/>
  <c r="F23" i="12" s="1"/>
  <c r="G23" i="12" s="1"/>
  <c r="D21" i="12"/>
  <c r="F21" i="12" s="1"/>
  <c r="G21" i="12" s="1"/>
  <c r="D11" i="12"/>
  <c r="F11" i="12" s="1"/>
  <c r="G11" i="12" s="1"/>
  <c r="D28" i="12"/>
  <c r="F28" i="12" s="1"/>
  <c r="G28" i="12" s="1"/>
  <c r="D18" i="12"/>
  <c r="F18" i="12" s="1"/>
  <c r="G18" i="12" s="1"/>
  <c r="D10" i="12"/>
  <c r="F10" i="12" s="1"/>
  <c r="G10" i="12" s="1"/>
  <c r="D16" i="12"/>
  <c r="F16" i="12" s="1"/>
  <c r="G16" i="12" s="1"/>
  <c r="D4" i="12"/>
  <c r="F4" i="12" s="1"/>
  <c r="G4" i="12" s="1"/>
  <c r="D12" i="12"/>
  <c r="F12" i="12" s="1"/>
  <c r="G12" i="12" s="1"/>
  <c r="D24" i="12"/>
  <c r="F24" i="12" s="1"/>
  <c r="G24" i="12" s="1"/>
  <c r="D31" i="12"/>
  <c r="F31" i="12" s="1"/>
  <c r="G31" i="12" s="1"/>
  <c r="D17" i="12"/>
  <c r="F17" i="12" s="1"/>
  <c r="G17" i="12" s="1"/>
  <c r="D9" i="12"/>
  <c r="F9" i="12" s="1"/>
  <c r="G9" i="12" s="1"/>
  <c r="D25" i="12"/>
  <c r="F25" i="12" s="1"/>
  <c r="G25" i="12" s="1"/>
  <c r="D30" i="12"/>
  <c r="F30" i="12" s="1"/>
  <c r="G30" i="12" s="1"/>
  <c r="D5" i="12"/>
  <c r="F5" i="12" s="1"/>
  <c r="G5" i="12" s="1"/>
  <c r="D13" i="12"/>
  <c r="F13" i="12" s="1"/>
  <c r="G13" i="12" s="1"/>
  <c r="D6" i="12"/>
  <c r="F6" i="12" s="1"/>
  <c r="G6" i="12" s="1"/>
  <c r="D8" i="12"/>
  <c r="F8" i="12" s="1"/>
  <c r="G8" i="12" s="1"/>
  <c r="D32" i="12"/>
  <c r="F32" i="12" s="1"/>
  <c r="G32" i="12" s="1"/>
  <c r="D26" i="12"/>
  <c r="F26" i="12" s="1"/>
  <c r="G26" i="12" s="1"/>
  <c r="D20" i="12"/>
  <c r="F20" i="12" s="1"/>
  <c r="G20" i="12" s="1"/>
  <c r="D27" i="12"/>
  <c r="F27" i="12" s="1"/>
  <c r="G27" i="12" s="1"/>
  <c r="D15" i="12"/>
  <c r="F15" i="12" s="1"/>
  <c r="G15" i="12" s="1"/>
  <c r="F40" i="7"/>
  <c r="F41" i="7" s="1"/>
  <c r="I24" i="13"/>
  <c r="I44" i="13"/>
  <c r="I64" i="13"/>
  <c r="I7" i="13"/>
  <c r="I26" i="13"/>
  <c r="I27" i="13"/>
  <c r="I48" i="13"/>
  <c r="I69" i="13"/>
  <c r="I70" i="13"/>
  <c r="I32" i="13"/>
  <c r="I62" i="13"/>
  <c r="I25" i="13"/>
  <c r="I45" i="13"/>
  <c r="I65" i="13"/>
  <c r="I46" i="13"/>
  <c r="I66" i="13"/>
  <c r="I47" i="13"/>
  <c r="I67" i="13"/>
  <c r="I28" i="13"/>
  <c r="I68" i="13"/>
  <c r="I29" i="13"/>
  <c r="I71" i="13"/>
  <c r="I52" i="13"/>
  <c r="I42" i="13"/>
  <c r="I50" i="13"/>
  <c r="I49" i="13"/>
  <c r="I23" i="13"/>
  <c r="I8" i="13"/>
  <c r="I30" i="13"/>
  <c r="I12" i="13"/>
  <c r="I22" i="13"/>
  <c r="I9" i="13"/>
  <c r="I10" i="13"/>
  <c r="I72" i="13"/>
  <c r="I11" i="13"/>
  <c r="I31" i="13"/>
  <c r="I51" i="13"/>
  <c r="I13" i="13"/>
  <c r="I33" i="13"/>
  <c r="I53" i="13"/>
  <c r="I73" i="13"/>
  <c r="I14" i="13"/>
  <c r="I34" i="13"/>
  <c r="I54" i="13"/>
  <c r="I74" i="13"/>
  <c r="I15" i="13"/>
  <c r="I35" i="13"/>
  <c r="I55" i="13"/>
  <c r="I75" i="13"/>
  <c r="I18" i="13"/>
  <c r="I58" i="13"/>
  <c r="I19" i="13"/>
  <c r="I59" i="13"/>
  <c r="I20" i="13"/>
  <c r="I40" i="13"/>
  <c r="I60" i="13"/>
  <c r="I21" i="13"/>
  <c r="I61" i="13"/>
  <c r="I43" i="13"/>
  <c r="I16" i="13"/>
  <c r="I36" i="13"/>
  <c r="I56" i="13"/>
  <c r="I17" i="13"/>
  <c r="I37" i="13"/>
  <c r="I57" i="13"/>
  <c r="I38" i="13"/>
  <c r="I39" i="13"/>
  <c r="I41" i="13"/>
  <c r="I63" i="13"/>
  <c r="J49" i="7"/>
  <c r="J48" i="7"/>
  <c r="E20" i="13"/>
  <c r="E40" i="13"/>
  <c r="E60" i="13"/>
  <c r="E22" i="13"/>
  <c r="E62" i="13"/>
  <c r="E43" i="13"/>
  <c r="E26" i="13"/>
  <c r="E21" i="13"/>
  <c r="E41" i="13"/>
  <c r="E61" i="13"/>
  <c r="E42" i="13"/>
  <c r="E23" i="13"/>
  <c r="E63" i="13"/>
  <c r="E45" i="13"/>
  <c r="E65" i="13"/>
  <c r="E66" i="13"/>
  <c r="E24" i="13"/>
  <c r="E44" i="13"/>
  <c r="E64" i="13"/>
  <c r="E25" i="13"/>
  <c r="E46" i="13"/>
  <c r="E9" i="13"/>
  <c r="E29" i="13"/>
  <c r="E49" i="13"/>
  <c r="E69" i="13"/>
  <c r="E10" i="13"/>
  <c r="E30" i="13"/>
  <c r="E50" i="13"/>
  <c r="E70" i="13"/>
  <c r="E11" i="13"/>
  <c r="E31" i="13"/>
  <c r="E51" i="13"/>
  <c r="E71" i="13"/>
  <c r="E12" i="13"/>
  <c r="E32" i="13"/>
  <c r="E52" i="13"/>
  <c r="E72" i="13"/>
  <c r="E13" i="13"/>
  <c r="E33" i="13"/>
  <c r="E53" i="13"/>
  <c r="E73" i="13"/>
  <c r="E14" i="13"/>
  <c r="E34" i="13"/>
  <c r="E35" i="13"/>
  <c r="E36" i="13"/>
  <c r="E37" i="13"/>
  <c r="E38" i="13"/>
  <c r="E55" i="13"/>
  <c r="E59" i="13"/>
  <c r="E15" i="13"/>
  <c r="E67" i="13"/>
  <c r="E75" i="13"/>
  <c r="E19" i="13"/>
  <c r="E39" i="13"/>
  <c r="E68" i="13"/>
  <c r="E17" i="13"/>
  <c r="E47" i="13"/>
  <c r="E48" i="13"/>
  <c r="E54" i="13"/>
  <c r="E74" i="13"/>
  <c r="E18" i="13"/>
  <c r="E7" i="13"/>
  <c r="E27" i="13"/>
  <c r="E28" i="13"/>
  <c r="E56" i="13"/>
  <c r="E57" i="13"/>
  <c r="E58" i="13"/>
  <c r="E8" i="13"/>
  <c r="E16" i="13"/>
  <c r="J47" i="7"/>
  <c r="H47" i="7"/>
  <c r="D78" i="12"/>
  <c r="F78" i="12" s="1"/>
  <c r="G78" i="12" s="1"/>
  <c r="D56" i="12"/>
  <c r="F56" i="12" s="1"/>
  <c r="G56" i="12" s="1"/>
  <c r="D68" i="12"/>
  <c r="F68" i="12" s="1"/>
  <c r="G68" i="12" s="1"/>
  <c r="D52" i="12"/>
  <c r="F52" i="12" s="1"/>
  <c r="G52" i="12" s="1"/>
  <c r="D50" i="12"/>
  <c r="F50" i="12" s="1"/>
  <c r="G50" i="12" s="1"/>
  <c r="D46" i="12"/>
  <c r="F46" i="12" s="1"/>
  <c r="G46" i="12" s="1"/>
  <c r="D88" i="12"/>
  <c r="F88" i="12" s="1"/>
  <c r="G88" i="12" s="1"/>
  <c r="D66" i="12"/>
  <c r="F66" i="12" s="1"/>
  <c r="G66" i="12" s="1"/>
  <c r="D103" i="12"/>
  <c r="F103" i="12" s="1"/>
  <c r="G103" i="12" s="1"/>
  <c r="D95" i="12"/>
  <c r="F95" i="12" s="1"/>
  <c r="G95" i="12" s="1"/>
  <c r="D62" i="12"/>
  <c r="F62" i="12" s="1"/>
  <c r="G62" i="12" s="1"/>
  <c r="D99" i="12"/>
  <c r="F99" i="12" s="1"/>
  <c r="G99" i="12" s="1"/>
  <c r="D100" i="12"/>
  <c r="F100" i="12" s="1"/>
  <c r="G100" i="12" s="1"/>
  <c r="D43" i="12"/>
  <c r="F43" i="12" s="1"/>
  <c r="G43" i="12" s="1"/>
  <c r="D58" i="12"/>
  <c r="F58" i="12" s="1"/>
  <c r="G58" i="12" s="1"/>
  <c r="D47" i="12"/>
  <c r="F47" i="12" s="1"/>
  <c r="G47" i="12" s="1"/>
  <c r="D54" i="12"/>
  <c r="F54" i="12" s="1"/>
  <c r="G54" i="12" s="1"/>
  <c r="D90" i="12"/>
  <c r="F90" i="12" s="1"/>
  <c r="G90" i="12" s="1"/>
  <c r="D79" i="12"/>
  <c r="F79" i="12" s="1"/>
  <c r="G79" i="12" s="1"/>
  <c r="D104" i="12"/>
  <c r="F104" i="12" s="1"/>
  <c r="G104" i="12" s="1"/>
  <c r="D93" i="12"/>
  <c r="F93" i="12" s="1"/>
  <c r="G93" i="12" s="1"/>
  <c r="D84" i="12"/>
  <c r="F84" i="12" s="1"/>
  <c r="G84" i="12" s="1"/>
  <c r="D49" i="12"/>
  <c r="F49" i="12" s="1"/>
  <c r="G49" i="12" s="1"/>
  <c r="D89" i="12"/>
  <c r="F89" i="12" s="1"/>
  <c r="G89" i="12" s="1"/>
  <c r="D85" i="12"/>
  <c r="F85" i="12" s="1"/>
  <c r="G85" i="12" s="1"/>
  <c r="D69" i="12"/>
  <c r="F69" i="12" s="1"/>
  <c r="G69" i="12" s="1"/>
  <c r="D97" i="12"/>
  <c r="F97" i="12" s="1"/>
  <c r="G97" i="12" s="1"/>
  <c r="D53" i="12"/>
  <c r="F53" i="12" s="1"/>
  <c r="G53" i="12" s="1"/>
  <c r="D105" i="12"/>
  <c r="F105" i="12" s="1"/>
  <c r="G105" i="12" s="1"/>
  <c r="D67" i="12"/>
  <c r="F67" i="12" s="1"/>
  <c r="G67" i="12" s="1"/>
  <c r="D101" i="12"/>
  <c r="F101" i="12" s="1"/>
  <c r="G101" i="12" s="1"/>
  <c r="D81" i="12"/>
  <c r="F81" i="12" s="1"/>
  <c r="G81" i="12" s="1"/>
  <c r="D64" i="12"/>
  <c r="F64" i="12" s="1"/>
  <c r="G64" i="12" s="1"/>
  <c r="D63" i="12"/>
  <c r="F63" i="12" s="1"/>
  <c r="G63" i="12" s="1"/>
  <c r="D59" i="12"/>
  <c r="F59" i="12" s="1"/>
  <c r="G59" i="12" s="1"/>
  <c r="D96" i="12"/>
  <c r="F96" i="12" s="1"/>
  <c r="G96" i="12" s="1"/>
  <c r="D98" i="12"/>
  <c r="F98" i="12" s="1"/>
  <c r="G98" i="12" s="1"/>
  <c r="D86" i="12"/>
  <c r="F86" i="12" s="1"/>
  <c r="G86" i="12" s="1"/>
  <c r="D94" i="12"/>
  <c r="F94" i="12" s="1"/>
  <c r="G94" i="12" s="1"/>
  <c r="D44" i="12"/>
  <c r="F44" i="12" s="1"/>
  <c r="G44" i="12" s="1"/>
  <c r="D106" i="12"/>
  <c r="F106" i="12" s="1"/>
  <c r="G106" i="12" s="1"/>
  <c r="D57" i="12"/>
  <c r="F57" i="12" s="1"/>
  <c r="G57" i="12" s="1"/>
  <c r="D61" i="12"/>
  <c r="F61" i="12" s="1"/>
  <c r="G61" i="12" s="1"/>
  <c r="D45" i="12"/>
  <c r="F45" i="12" s="1"/>
  <c r="G45" i="12" s="1"/>
  <c r="D42" i="12"/>
  <c r="F42" i="12" s="1"/>
  <c r="G42" i="12" s="1"/>
  <c r="D82" i="12"/>
  <c r="F82" i="12" s="1"/>
  <c r="G82" i="12" s="1"/>
  <c r="D55" i="12"/>
  <c r="F55" i="12" s="1"/>
  <c r="G55" i="12" s="1"/>
  <c r="D65" i="12"/>
  <c r="F65" i="12" s="1"/>
  <c r="G65" i="12" s="1"/>
  <c r="D41" i="12"/>
  <c r="F41" i="12" s="1"/>
  <c r="G41" i="12" s="1"/>
  <c r="D80" i="12"/>
  <c r="F80" i="12" s="1"/>
  <c r="G80" i="12" s="1"/>
  <c r="D60" i="12"/>
  <c r="F60" i="12" s="1"/>
  <c r="G60" i="12" s="1"/>
  <c r="D102" i="12"/>
  <c r="F102" i="12" s="1"/>
  <c r="G102" i="12" s="1"/>
  <c r="D48" i="12"/>
  <c r="F48" i="12" s="1"/>
  <c r="G48" i="12" s="1"/>
  <c r="D51" i="12"/>
  <c r="F51" i="12" s="1"/>
  <c r="G51" i="12" s="1"/>
  <c r="D91" i="12"/>
  <c r="F91" i="12" s="1"/>
  <c r="G91" i="12" s="1"/>
  <c r="D87" i="12"/>
  <c r="F87" i="12" s="1"/>
  <c r="G87" i="12" s="1"/>
  <c r="D83" i="12"/>
  <c r="F83" i="12" s="1"/>
  <c r="G83" i="12" s="1"/>
  <c r="D92" i="12"/>
  <c r="F92" i="12" s="1"/>
  <c r="G92" i="12" s="1"/>
  <c r="H48" i="7"/>
  <c r="H49" i="7"/>
  <c r="J41" i="13" l="1"/>
  <c r="K41" i="13" s="1"/>
  <c r="F75" i="7"/>
  <c r="B4" i="13"/>
  <c r="C67" i="7" s="1"/>
  <c r="J14" i="13"/>
  <c r="K14" i="13" s="1"/>
  <c r="J44" i="13"/>
  <c r="K44" i="13" s="1"/>
  <c r="J54" i="13"/>
  <c r="K54" i="13" s="1"/>
  <c r="J55" i="13"/>
  <c r="K55" i="13" s="1"/>
  <c r="J49" i="13"/>
  <c r="K49" i="13" s="1"/>
  <c r="J69" i="13"/>
  <c r="K69" i="13" s="1"/>
  <c r="J57" i="13"/>
  <c r="K57" i="13" s="1"/>
  <c r="J38" i="13"/>
  <c r="K38" i="13" s="1"/>
  <c r="J48" i="13"/>
  <c r="K48" i="13" s="1"/>
  <c r="J24" i="13"/>
  <c r="K24" i="13" s="1"/>
  <c r="J50" i="13"/>
  <c r="K50" i="13" s="1"/>
  <c r="J34" i="13"/>
  <c r="K34" i="13" s="1"/>
  <c r="J56" i="13"/>
  <c r="K56" i="13" s="1"/>
  <c r="J73" i="13"/>
  <c r="K73" i="13" s="1"/>
  <c r="J52" i="13"/>
  <c r="K52" i="13" s="1"/>
  <c r="J22" i="13"/>
  <c r="K22" i="13" s="1"/>
  <c r="J27" i="13"/>
  <c r="K27" i="13" s="1"/>
  <c r="J30" i="13"/>
  <c r="K30" i="13" s="1"/>
  <c r="J59" i="13"/>
  <c r="K59" i="13" s="1"/>
  <c r="J37" i="13"/>
  <c r="K37" i="13" s="1"/>
  <c r="J36" i="13"/>
  <c r="K36" i="13" s="1"/>
  <c r="J8" i="13"/>
  <c r="K8" i="13" s="1"/>
  <c r="J17" i="13"/>
  <c r="K17" i="13" s="1"/>
  <c r="J58" i="13"/>
  <c r="K58" i="13" s="1"/>
  <c r="J64" i="13"/>
  <c r="K64" i="13" s="1"/>
  <c r="J26" i="13"/>
  <c r="K26" i="13" s="1"/>
  <c r="J29" i="13"/>
  <c r="K29" i="13" s="1"/>
  <c r="J71" i="13"/>
  <c r="K71" i="13" s="1"/>
  <c r="J35" i="13"/>
  <c r="K35" i="13" s="1"/>
  <c r="J70" i="13"/>
  <c r="K70" i="13" s="1"/>
  <c r="J62" i="13"/>
  <c r="K62" i="13" s="1"/>
  <c r="J10" i="13"/>
  <c r="K10" i="13" s="1"/>
  <c r="J74" i="13"/>
  <c r="K74" i="13" s="1"/>
  <c r="J21" i="13"/>
  <c r="K21" i="13" s="1"/>
  <c r="J18" i="13"/>
  <c r="K18" i="13" s="1"/>
  <c r="J16" i="13"/>
  <c r="K16" i="13" s="1"/>
  <c r="J9" i="13"/>
  <c r="K9" i="13" s="1"/>
  <c r="J40" i="13"/>
  <c r="K40" i="13" s="1"/>
  <c r="J28" i="13"/>
  <c r="K28" i="13" s="1"/>
  <c r="J60" i="13"/>
  <c r="K60" i="13" s="1"/>
  <c r="J53" i="13"/>
  <c r="K53" i="13" s="1"/>
  <c r="J25" i="13"/>
  <c r="K25" i="13" s="1"/>
  <c r="J72" i="13"/>
  <c r="K72" i="13" s="1"/>
  <c r="J68" i="13"/>
  <c r="K68" i="13" s="1"/>
  <c r="J32" i="13"/>
  <c r="K32" i="13" s="1"/>
  <c r="J65" i="13"/>
  <c r="K65" i="13" s="1"/>
  <c r="J66" i="13"/>
  <c r="K66" i="13" s="1"/>
  <c r="J12" i="13"/>
  <c r="K12" i="13" s="1"/>
  <c r="J45" i="13"/>
  <c r="K45" i="13" s="1"/>
  <c r="J19" i="13"/>
  <c r="K19" i="13" s="1"/>
  <c r="J63" i="13"/>
  <c r="K63" i="13" s="1"/>
  <c r="J75" i="13"/>
  <c r="K75" i="13" s="1"/>
  <c r="J51" i="13"/>
  <c r="K51" i="13" s="1"/>
  <c r="J23" i="13"/>
  <c r="K23" i="13" s="1"/>
  <c r="J43" i="13"/>
  <c r="K43" i="13" s="1"/>
  <c r="J46" i="13"/>
  <c r="K46" i="13" s="1"/>
  <c r="J20" i="13"/>
  <c r="K20" i="13" s="1"/>
  <c r="J13" i="13"/>
  <c r="K13" i="13" s="1"/>
  <c r="J47" i="13"/>
  <c r="K47" i="13" s="1"/>
  <c r="J39" i="13"/>
  <c r="K39" i="13" s="1"/>
  <c r="J67" i="13"/>
  <c r="K67" i="13" s="1"/>
  <c r="J31" i="13"/>
  <c r="K31" i="13" s="1"/>
  <c r="J42" i="13"/>
  <c r="K42" i="13" s="1"/>
  <c r="J33" i="13"/>
  <c r="K33" i="13" s="1"/>
  <c r="J15" i="13"/>
  <c r="K15" i="13" s="1"/>
  <c r="J11" i="13"/>
  <c r="K11" i="13" s="1"/>
  <c r="J61" i="13"/>
  <c r="K61" i="13" s="1"/>
  <c r="J7" i="13"/>
  <c r="K7" i="13" s="1"/>
  <c r="H50" i="7"/>
  <c r="J50" i="7"/>
  <c r="F88" i="7" s="1"/>
  <c r="I50" i="7"/>
  <c r="F73" i="7" s="1"/>
  <c r="F76" i="7" l="1"/>
  <c r="L25" i="13"/>
  <c r="M25" i="13" s="1"/>
  <c r="N25" i="13" s="1"/>
  <c r="L47" i="13"/>
  <c r="M47" i="13" s="1"/>
  <c r="N47" i="13" s="1"/>
  <c r="L44" i="13"/>
  <c r="M44" i="13" s="1"/>
  <c r="N44" i="13" s="1"/>
  <c r="L70" i="13"/>
  <c r="M70" i="13" s="1"/>
  <c r="N70" i="13" s="1"/>
  <c r="L58" i="13"/>
  <c r="M58" i="13" s="1"/>
  <c r="N58" i="13" s="1"/>
  <c r="L11" i="13"/>
  <c r="M11" i="13" s="1"/>
  <c r="N11" i="13" s="1"/>
  <c r="L45" i="13"/>
  <c r="M45" i="13" s="1"/>
  <c r="N45" i="13" s="1"/>
  <c r="L38" i="13"/>
  <c r="M38" i="13" s="1"/>
  <c r="N38" i="13" s="1"/>
  <c r="L19" i="13"/>
  <c r="M19" i="13" s="1"/>
  <c r="N19" i="13" s="1"/>
  <c r="H79" i="12"/>
  <c r="I79" i="12" s="1"/>
  <c r="H99" i="12"/>
  <c r="I99" i="12" s="1"/>
  <c r="H53" i="12"/>
  <c r="I53" i="12" s="1"/>
  <c r="H7" i="12"/>
  <c r="I7" i="12" s="1"/>
  <c r="H27" i="12"/>
  <c r="I27" i="12" s="1"/>
  <c r="H32" i="12"/>
  <c r="I32" i="12" s="1"/>
  <c r="H85" i="12"/>
  <c r="I85" i="12" s="1"/>
  <c r="H18" i="12"/>
  <c r="I18" i="12" s="1"/>
  <c r="H47" i="12"/>
  <c r="I47" i="12" s="1"/>
  <c r="H49" i="12"/>
  <c r="I49" i="12" s="1"/>
  <c r="H24" i="12"/>
  <c r="I24" i="12" s="1"/>
  <c r="H80" i="12"/>
  <c r="I80" i="12" s="1"/>
  <c r="H100" i="12"/>
  <c r="I100" i="12" s="1"/>
  <c r="H54" i="12"/>
  <c r="I54" i="12" s="1"/>
  <c r="H8" i="12"/>
  <c r="I8" i="12" s="1"/>
  <c r="H28" i="12"/>
  <c r="I28" i="12" s="1"/>
  <c r="H12" i="12"/>
  <c r="I12" i="12" s="1"/>
  <c r="H105" i="12"/>
  <c r="I105" i="12" s="1"/>
  <c r="H14" i="12"/>
  <c r="I14" i="12" s="1"/>
  <c r="H87" i="12"/>
  <c r="I87" i="12" s="1"/>
  <c r="H64" i="12"/>
  <c r="I64" i="12" s="1"/>
  <c r="H67" i="12"/>
  <c r="I67" i="12" s="1"/>
  <c r="H68" i="12"/>
  <c r="I68" i="12" s="1"/>
  <c r="H69" i="12"/>
  <c r="I69" i="12" s="1"/>
  <c r="H96" i="12"/>
  <c r="I96" i="12" s="1"/>
  <c r="H6" i="12"/>
  <c r="I6" i="12" s="1"/>
  <c r="H81" i="12"/>
  <c r="I81" i="12" s="1"/>
  <c r="H101" i="12"/>
  <c r="I101" i="12" s="1"/>
  <c r="H55" i="12"/>
  <c r="I55" i="12" s="1"/>
  <c r="H9" i="12"/>
  <c r="I9" i="12" s="1"/>
  <c r="H29" i="12"/>
  <c r="I29" i="12" s="1"/>
  <c r="H104" i="12"/>
  <c r="I104" i="12" s="1"/>
  <c r="H13" i="12"/>
  <c r="I13" i="12" s="1"/>
  <c r="H106" i="12"/>
  <c r="I106" i="12" s="1"/>
  <c r="H61" i="12"/>
  <c r="I61" i="12" s="1"/>
  <c r="H88" i="12"/>
  <c r="I88" i="12" s="1"/>
  <c r="H65" i="12"/>
  <c r="I65" i="12" s="1"/>
  <c r="H46" i="12"/>
  <c r="I46" i="12" s="1"/>
  <c r="H21" i="12"/>
  <c r="I21" i="12" s="1"/>
  <c r="H48" i="12"/>
  <c r="I48" i="12" s="1"/>
  <c r="H95" i="12"/>
  <c r="I95" i="12" s="1"/>
  <c r="H51" i="12"/>
  <c r="I51" i="12" s="1"/>
  <c r="H98" i="12"/>
  <c r="I98" i="12" s="1"/>
  <c r="H82" i="12"/>
  <c r="I82" i="12" s="1"/>
  <c r="H102" i="12"/>
  <c r="I102" i="12" s="1"/>
  <c r="H56" i="12"/>
  <c r="I56" i="12" s="1"/>
  <c r="H10" i="12"/>
  <c r="I10" i="12" s="1"/>
  <c r="H30" i="12"/>
  <c r="I30" i="12" s="1"/>
  <c r="H58" i="12"/>
  <c r="I58" i="12" s="1"/>
  <c r="H59" i="12"/>
  <c r="I59" i="12" s="1"/>
  <c r="H60" i="12"/>
  <c r="I60" i="12" s="1"/>
  <c r="H15" i="12"/>
  <c r="I15" i="12" s="1"/>
  <c r="H42" i="12"/>
  <c r="I42" i="12" s="1"/>
  <c r="H43" i="12"/>
  <c r="I43" i="12" s="1"/>
  <c r="H44" i="12"/>
  <c r="I44" i="12" s="1"/>
  <c r="H91" i="12"/>
  <c r="I91" i="12" s="1"/>
  <c r="H66" i="12"/>
  <c r="I66" i="12" s="1"/>
  <c r="H93" i="12"/>
  <c r="I93" i="12" s="1"/>
  <c r="H22" i="12"/>
  <c r="I22" i="12" s="1"/>
  <c r="H23" i="12"/>
  <c r="I23" i="12" s="1"/>
  <c r="H41" i="12"/>
  <c r="I41" i="12" s="1"/>
  <c r="H5" i="12"/>
  <c r="I5" i="12" s="1"/>
  <c r="H52" i="12"/>
  <c r="I52" i="12" s="1"/>
  <c r="H83" i="12"/>
  <c r="I83" i="12" s="1"/>
  <c r="H103" i="12"/>
  <c r="I103" i="12" s="1"/>
  <c r="H57" i="12"/>
  <c r="I57" i="12" s="1"/>
  <c r="H11" i="12"/>
  <c r="I11" i="12" s="1"/>
  <c r="H31" i="12"/>
  <c r="I31" i="12" s="1"/>
  <c r="H84" i="12"/>
  <c r="I84" i="12" s="1"/>
  <c r="H4" i="12"/>
  <c r="I4" i="12" s="1"/>
  <c r="H86" i="12"/>
  <c r="I86" i="12" s="1"/>
  <c r="H78" i="12"/>
  <c r="I78" i="12" s="1"/>
  <c r="H62" i="12"/>
  <c r="I62" i="12" s="1"/>
  <c r="H89" i="12"/>
  <c r="I89" i="12" s="1"/>
  <c r="H63" i="12"/>
  <c r="I63" i="12" s="1"/>
  <c r="H17" i="12"/>
  <c r="I17" i="12" s="1"/>
  <c r="H90" i="12"/>
  <c r="I90" i="12" s="1"/>
  <c r="H45" i="12"/>
  <c r="I45" i="12" s="1"/>
  <c r="H19" i="12"/>
  <c r="I19" i="12" s="1"/>
  <c r="H92" i="12"/>
  <c r="I92" i="12" s="1"/>
  <c r="H20" i="12"/>
  <c r="I20" i="12" s="1"/>
  <c r="H94" i="12"/>
  <c r="I94" i="12" s="1"/>
  <c r="H50" i="12"/>
  <c r="I50" i="12" s="1"/>
  <c r="H25" i="12"/>
  <c r="I25" i="12" s="1"/>
  <c r="H26" i="12"/>
  <c r="I26" i="12" s="1"/>
  <c r="H16" i="12"/>
  <c r="I16" i="12" s="1"/>
  <c r="H97" i="12"/>
  <c r="I97" i="12" s="1"/>
  <c r="L72" i="13"/>
  <c r="M72" i="13" s="1"/>
  <c r="N72" i="13" s="1"/>
  <c r="L71" i="13"/>
  <c r="M71" i="13" s="1"/>
  <c r="N71" i="13" s="1"/>
  <c r="L32" i="13"/>
  <c r="M32" i="13" s="1"/>
  <c r="N32" i="13" s="1"/>
  <c r="L18" i="13"/>
  <c r="M18" i="13" s="1"/>
  <c r="N18" i="13" s="1"/>
  <c r="L36" i="13"/>
  <c r="M36" i="13" s="1"/>
  <c r="N36" i="13" s="1"/>
  <c r="L68" i="13"/>
  <c r="M68" i="13" s="1"/>
  <c r="N68" i="13" s="1"/>
  <c r="L55" i="13"/>
  <c r="M55" i="13" s="1"/>
  <c r="N55" i="13" s="1"/>
  <c r="L51" i="13"/>
  <c r="M51" i="13" s="1"/>
  <c r="N51" i="13" s="1"/>
  <c r="L15" i="13"/>
  <c r="M15" i="13" s="1"/>
  <c r="N15" i="13" s="1"/>
  <c r="L17" i="13"/>
  <c r="M17" i="13" s="1"/>
  <c r="N17" i="13" s="1"/>
  <c r="L9" i="13"/>
  <c r="M9" i="13" s="1"/>
  <c r="N9" i="13" s="1"/>
  <c r="L39" i="13"/>
  <c r="M39" i="13" s="1"/>
  <c r="N39" i="13" s="1"/>
  <c r="L73" i="13"/>
  <c r="M73" i="13" s="1"/>
  <c r="N73" i="13" s="1"/>
  <c r="L61" i="13"/>
  <c r="M61" i="13" s="1"/>
  <c r="N61" i="13" s="1"/>
  <c r="L62" i="13"/>
  <c r="M62" i="13" s="1"/>
  <c r="N62" i="13" s="1"/>
  <c r="L69" i="13"/>
  <c r="M69" i="13" s="1"/>
  <c r="N69" i="13" s="1"/>
  <c r="L23" i="13"/>
  <c r="M23" i="13" s="1"/>
  <c r="N23" i="13" s="1"/>
  <c r="L63" i="13"/>
  <c r="M63" i="13" s="1"/>
  <c r="N63" i="13" s="1"/>
  <c r="L43" i="13"/>
  <c r="M43" i="13" s="1"/>
  <c r="N43" i="13" s="1"/>
  <c r="L65" i="13"/>
  <c r="M65" i="13" s="1"/>
  <c r="N65" i="13" s="1"/>
  <c r="L30" i="13"/>
  <c r="M30" i="13" s="1"/>
  <c r="N30" i="13" s="1"/>
  <c r="L26" i="13"/>
  <c r="M26" i="13" s="1"/>
  <c r="N26" i="13" s="1"/>
  <c r="L7" i="13"/>
  <c r="M7" i="13" s="1"/>
  <c r="N7" i="13" s="1"/>
  <c r="L27" i="13"/>
  <c r="M27" i="13" s="1"/>
  <c r="N27" i="13" s="1"/>
  <c r="L31" i="13"/>
  <c r="M31" i="13" s="1"/>
  <c r="N31" i="13" s="1"/>
  <c r="L75" i="13"/>
  <c r="M75" i="13" s="1"/>
  <c r="N75" i="13" s="1"/>
  <c r="L53" i="13"/>
  <c r="M53" i="13" s="1"/>
  <c r="N53" i="13" s="1"/>
  <c r="L56" i="13"/>
  <c r="M56" i="13" s="1"/>
  <c r="N56" i="13" s="1"/>
  <c r="L12" i="13"/>
  <c r="M12" i="13" s="1"/>
  <c r="N12" i="13" s="1"/>
  <c r="L60" i="13"/>
  <c r="M60" i="13" s="1"/>
  <c r="N60" i="13" s="1"/>
  <c r="L8" i="13"/>
  <c r="M8" i="13" s="1"/>
  <c r="N8" i="13" s="1"/>
  <c r="L52" i="13"/>
  <c r="M52" i="13" s="1"/>
  <c r="N52" i="13" s="1"/>
  <c r="L37" i="13"/>
  <c r="M37" i="13" s="1"/>
  <c r="N37" i="13" s="1"/>
  <c r="L13" i="13"/>
  <c r="M13" i="13" s="1"/>
  <c r="N13" i="13" s="1"/>
  <c r="L48" i="13"/>
  <c r="M48" i="13" s="1"/>
  <c r="N48" i="13" s="1"/>
  <c r="L67" i="13"/>
  <c r="M67" i="13" s="1"/>
  <c r="N67" i="13" s="1"/>
  <c r="L28" i="13"/>
  <c r="M28" i="13" s="1"/>
  <c r="N28" i="13" s="1"/>
  <c r="L41" i="13"/>
  <c r="M41" i="13" s="1"/>
  <c r="N41" i="13" s="1"/>
  <c r="L34" i="13"/>
  <c r="M34" i="13" s="1"/>
  <c r="N34" i="13" s="1"/>
  <c r="L21" i="13"/>
  <c r="M21" i="13" s="1"/>
  <c r="N21" i="13" s="1"/>
  <c r="L14" i="13"/>
  <c r="M14" i="13" s="1"/>
  <c r="N14" i="13" s="1"/>
  <c r="L74" i="13"/>
  <c r="M74" i="13" s="1"/>
  <c r="N74" i="13" s="1"/>
  <c r="L22" i="13"/>
  <c r="M22" i="13" s="1"/>
  <c r="N22" i="13" s="1"/>
  <c r="L59" i="13"/>
  <c r="M59" i="13" s="1"/>
  <c r="N59" i="13" s="1"/>
  <c r="L29" i="13"/>
  <c r="M29" i="13" s="1"/>
  <c r="N29" i="13" s="1"/>
  <c r="L54" i="13"/>
  <c r="M54" i="13" s="1"/>
  <c r="N54" i="13" s="1"/>
  <c r="L16" i="13"/>
  <c r="M16" i="13" s="1"/>
  <c r="N16" i="13" s="1"/>
  <c r="L42" i="13"/>
  <c r="M42" i="13" s="1"/>
  <c r="N42" i="13" s="1"/>
  <c r="L46" i="13"/>
  <c r="M46" i="13" s="1"/>
  <c r="N46" i="13" s="1"/>
  <c r="L49" i="13"/>
  <c r="M49" i="13" s="1"/>
  <c r="N49" i="13" s="1"/>
  <c r="L66" i="13"/>
  <c r="M66" i="13" s="1"/>
  <c r="N66" i="13" s="1"/>
  <c r="L20" i="13"/>
  <c r="M20" i="13" s="1"/>
  <c r="N20" i="13" s="1"/>
  <c r="L24" i="13"/>
  <c r="M24" i="13" s="1"/>
  <c r="N24" i="13" s="1"/>
  <c r="L64" i="13"/>
  <c r="M64" i="13" s="1"/>
  <c r="N64" i="13" s="1"/>
  <c r="L33" i="13"/>
  <c r="M33" i="13" s="1"/>
  <c r="N33" i="13" s="1"/>
  <c r="L40" i="13"/>
  <c r="M40" i="13" s="1"/>
  <c r="N40" i="13" s="1"/>
  <c r="L50" i="13"/>
  <c r="M50" i="13" s="1"/>
  <c r="N50" i="13" s="1"/>
  <c r="L35" i="13"/>
  <c r="M35" i="13" s="1"/>
  <c r="N35" i="13" s="1"/>
  <c r="L10" i="13"/>
  <c r="M10" i="13" s="1"/>
  <c r="N10" i="13" s="1"/>
  <c r="L57" i="13"/>
  <c r="M57" i="13" s="1"/>
  <c r="N57" i="13" s="1"/>
  <c r="H64" i="7"/>
  <c r="J65" i="7" s="1"/>
  <c r="F91" i="7"/>
  <c r="F92" i="7" s="1"/>
  <c r="G50" i="7"/>
  <c r="I111" i="12" l="1"/>
  <c r="I37" i="12"/>
  <c r="I74" i="12"/>
  <c r="I33" i="12"/>
  <c r="O5" i="13"/>
  <c r="C68" i="7" s="1"/>
  <c r="F81" i="7" s="1"/>
  <c r="I107" i="12"/>
  <c r="I110" i="12" s="1"/>
  <c r="I70" i="12"/>
  <c r="F80" i="7" l="1"/>
  <c r="F82" i="7" s="1"/>
  <c r="I73" i="12"/>
  <c r="F84" i="7"/>
  <c r="I36" i="12"/>
  <c r="I35" i="12"/>
  <c r="I34" i="12"/>
  <c r="I108" i="12"/>
  <c r="I109" i="12"/>
  <c r="I72" i="12"/>
  <c r="I71" i="12"/>
  <c r="F87" i="7" l="1"/>
  <c r="F85" i="7"/>
  <c r="F86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<sst xmlns="http://schemas.openxmlformats.org/spreadsheetml/2006/main" count="431" uniqueCount="253">
  <si>
    <t>Residential Development - Drainage Soakwell Capacity Calculator</t>
  </si>
  <si>
    <t>Address</t>
  </si>
  <si>
    <t>PROPOSED</t>
  </si>
  <si>
    <t>EXISTING</t>
  </si>
  <si>
    <t>m²</t>
  </si>
  <si>
    <t>Total Impervious Paved Area</t>
  </si>
  <si>
    <t>Total Pervious Area</t>
  </si>
  <si>
    <t>Total Site Area</t>
  </si>
  <si>
    <t>Site above the street level?</t>
  </si>
  <si>
    <t>YES</t>
  </si>
  <si>
    <t>Permission to connect to the council drainage?</t>
  </si>
  <si>
    <t>Note: Inflow volume is based on impervious area. The Applicant is required to calculate total impervious area as an input.</t>
  </si>
  <si>
    <t>Do not include paved areas that drain into gardens or lawn areas.</t>
  </si>
  <si>
    <t xml:space="preserve">2. Soil Property </t>
  </si>
  <si>
    <t xml:space="preserve">Soil type </t>
  </si>
  <si>
    <t>Sand</t>
  </si>
  <si>
    <t>Select soil type</t>
  </si>
  <si>
    <t>Saturated Hydraulic Conductivity, Kh</t>
  </si>
  <si>
    <t>m/sec</t>
  </si>
  <si>
    <t>Soil Moderation Factor, U</t>
  </si>
  <si>
    <t xml:space="preserve">3 .Rainfall Data </t>
  </si>
  <si>
    <t>Design Conditions</t>
  </si>
  <si>
    <t xml:space="preserve">Design ARI </t>
  </si>
  <si>
    <t>Year</t>
  </si>
  <si>
    <t>Design Rainfall Duration</t>
  </si>
  <si>
    <t>Select Design Duration (5min - 1hr - 12hr)</t>
  </si>
  <si>
    <t>min</t>
  </si>
  <si>
    <t>Design Rainfall Intensity</t>
  </si>
  <si>
    <t>mm/hr</t>
  </si>
  <si>
    <t>4. Surface Runoff Coefficient</t>
  </si>
  <si>
    <t xml:space="preserve">Roof - Runoff Coefficient </t>
  </si>
  <si>
    <t>(default)</t>
  </si>
  <si>
    <t xml:space="preserve">Impervious Paved Area - Runoff Coefficient </t>
  </si>
  <si>
    <t xml:space="preserve">Pervious Area - Runoff Coefficient </t>
  </si>
  <si>
    <t>(calculated)</t>
  </si>
  <si>
    <t>5. Inflow Volume Calculation</t>
  </si>
  <si>
    <t>Design Duration (mins)</t>
  </si>
  <si>
    <t>Design Duration (secs)</t>
  </si>
  <si>
    <t>sec</t>
  </si>
  <si>
    <t>Design Intensity (mm/hr)</t>
  </si>
  <si>
    <t>Peak Flow (l/s)</t>
  </si>
  <si>
    <t>l/s</t>
  </si>
  <si>
    <t>Inflow Volume(m3)</t>
  </si>
  <si>
    <t>m3</t>
  </si>
  <si>
    <t>Select the diameter, depth and the number of soakwell in the table below:</t>
  </si>
  <si>
    <t>ON/OFF</t>
  </si>
  <si>
    <t>Diameter D (m)</t>
  </si>
  <si>
    <t>Depth H (m)</t>
  </si>
  <si>
    <t>Number of Soakwell</t>
  </si>
  <si>
    <t>Total Base Area (m2)</t>
  </si>
  <si>
    <t>Outflow Rate(m3/s)</t>
  </si>
  <si>
    <t>Total Provided Volume(m3)</t>
  </si>
  <si>
    <t>Emptying Time (hour)</t>
  </si>
  <si>
    <t>Option 1</t>
  </si>
  <si>
    <t>OFF</t>
  </si>
  <si>
    <t>Option 2</t>
  </si>
  <si>
    <t>ON</t>
  </si>
  <si>
    <t>Option 3</t>
  </si>
  <si>
    <t>Total=</t>
  </si>
  <si>
    <t xml:space="preserve">7. Rainwater Tank Selection </t>
  </si>
  <si>
    <t>Select specifications of rainwater tank in the table below:</t>
  </si>
  <si>
    <t>Capacity (L)</t>
  </si>
  <si>
    <t>Detention Volume (L)</t>
  </si>
  <si>
    <t>Number of Rainwater Tanks</t>
  </si>
  <si>
    <t>Provided 
Detention Volume
(m3)</t>
  </si>
  <si>
    <t>8. OSD Calculation</t>
  </si>
  <si>
    <t>Select dimensions for OSD Pit below:</t>
  </si>
  <si>
    <t>OSD PIT ON/OFF</t>
  </si>
  <si>
    <t>Width (mm)</t>
  </si>
  <si>
    <t>Length (mm)</t>
  </si>
  <si>
    <t>Depth (mm)</t>
  </si>
  <si>
    <t>Provided Detention Volume (m3)</t>
  </si>
  <si>
    <t>Discharge Rate (L/s)</t>
  </si>
  <si>
    <t>Detention Depth Δz (m)</t>
  </si>
  <si>
    <t>C_d</t>
  </si>
  <si>
    <t>PSD ARI Years, 5 minutes</t>
  </si>
  <si>
    <t xml:space="preserve">Orifice D (mm) </t>
  </si>
  <si>
    <t>OSD ARI Years, 5 minutes</t>
  </si>
  <si>
    <t>OSD Discharge Flowrate</t>
  </si>
  <si>
    <t>L/s</t>
  </si>
  <si>
    <t xml:space="preserve">Note: Detention depth refers to the difference </t>
  </si>
  <si>
    <t>Required OSD Storage</t>
  </si>
  <si>
    <t xml:space="preserve">between the top level of the baffle wall </t>
  </si>
  <si>
    <t>and the level of the orifice.</t>
  </si>
  <si>
    <t xml:space="preserve">Soakwell Storage </t>
  </si>
  <si>
    <t>``</t>
  </si>
  <si>
    <t>Rainwater Tank Detention Storage</t>
  </si>
  <si>
    <t>OSD Pit Detention Storage</t>
  </si>
  <si>
    <t>Storage Volume Provided</t>
  </si>
  <si>
    <t>Detention Volume Required, 5 Minutes Duration</t>
  </si>
  <si>
    <t>TOTAL STORAGE REQUIRED</t>
  </si>
  <si>
    <t>Maximum Storage Volume Reuqired</t>
  </si>
  <si>
    <t>Critical Duration</t>
  </si>
  <si>
    <t>Critical Intensity</t>
  </si>
  <si>
    <t>Critical Flow Rate</t>
  </si>
  <si>
    <t>m3/s</t>
  </si>
  <si>
    <t>Critical Emptying Time</t>
  </si>
  <si>
    <t>hour</t>
  </si>
  <si>
    <t>11.Emptying Time Calculation</t>
  </si>
  <si>
    <t xml:space="preserve">Emptying Time </t>
  </si>
  <si>
    <t>hours</t>
  </si>
  <si>
    <t xml:space="preserve">Emptying Time Criteria </t>
  </si>
  <si>
    <t>days</t>
  </si>
  <si>
    <t xml:space="preserve">2 Year ARI </t>
  </si>
  <si>
    <t>Days</t>
  </si>
  <si>
    <t xml:space="preserve">20 Year ARI </t>
  </si>
  <si>
    <t>100 Year ARI</t>
  </si>
  <si>
    <t>Site Location</t>
  </si>
  <si>
    <t>Location=</t>
  </si>
  <si>
    <t>DON’T CHANGE THE VALUES BELOW</t>
  </si>
  <si>
    <t>Latitude=</t>
  </si>
  <si>
    <t>Longitude=</t>
  </si>
  <si>
    <t>Duration (min)</t>
  </si>
  <si>
    <t>BOM-Rainfall Data (mm/hr)</t>
  </si>
  <si>
    <t>http://www.bom.gov.au/water/designRainfalls/revised-ifd/</t>
  </si>
  <si>
    <t>Annual Exceedance Probability (AEP)</t>
  </si>
  <si>
    <t>ARI</t>
  </si>
  <si>
    <t>Duration</t>
  </si>
  <si>
    <t>1 min</t>
  </si>
  <si>
    <t>2 min</t>
  </si>
  <si>
    <t>3 min</t>
  </si>
  <si>
    <t>4 min</t>
  </si>
  <si>
    <t>5 min</t>
  </si>
  <si>
    <t>10 min</t>
  </si>
  <si>
    <t>15 min</t>
  </si>
  <si>
    <t>20 min</t>
  </si>
  <si>
    <t>25 min</t>
  </si>
  <si>
    <t>30 min</t>
  </si>
  <si>
    <t>45 min</t>
  </si>
  <si>
    <t>1 hour</t>
  </si>
  <si>
    <t>1.5 hour</t>
  </si>
  <si>
    <t>2 hour</t>
  </si>
  <si>
    <t>3 hour</t>
  </si>
  <si>
    <t>4.5 hour</t>
  </si>
  <si>
    <t>6 hour</t>
  </si>
  <si>
    <t>9 hour</t>
  </si>
  <si>
    <t>12 hour</t>
  </si>
  <si>
    <t>18 hour</t>
  </si>
  <si>
    <t>24 hour</t>
  </si>
  <si>
    <t>30 hour</t>
  </si>
  <si>
    <t>36 hour</t>
  </si>
  <si>
    <t>48 hour</t>
  </si>
  <si>
    <t>72 hour</t>
  </si>
  <si>
    <t>96 hour</t>
  </si>
  <si>
    <t>120 hour</t>
  </si>
  <si>
    <t>144 hour</t>
  </si>
  <si>
    <t>168 hour</t>
  </si>
  <si>
    <t>1.Site &amp; Soil Properties</t>
  </si>
  <si>
    <t>Sandy Clay</t>
  </si>
  <si>
    <t>Medium Clay</t>
  </si>
  <si>
    <t>Heavy Clay</t>
  </si>
  <si>
    <t>Custom</t>
  </si>
  <si>
    <t xml:space="preserve"> Reference: WSUD Guidleines Infiltration Measures Chp 10 </t>
  </si>
  <si>
    <t>SITE ABOVE THE STREET LEVEL</t>
  </si>
  <si>
    <t>NO</t>
  </si>
  <si>
    <t>2. Rainfall Data</t>
  </si>
  <si>
    <t>Design Duration</t>
  </si>
  <si>
    <t>3. Surface Runoff Coefficient</t>
  </si>
  <si>
    <t>Surface Runoff Coefficient</t>
  </si>
  <si>
    <t>Impervious Paved Area</t>
  </si>
  <si>
    <t>Roof Area</t>
  </si>
  <si>
    <t>add reff</t>
  </si>
  <si>
    <t>4. Volume Calculation</t>
  </si>
  <si>
    <t>5. Soakwell</t>
  </si>
  <si>
    <t>Diamter(m)</t>
  </si>
  <si>
    <t>Depth(m)</t>
  </si>
  <si>
    <t>6. Rainwater Tank</t>
  </si>
  <si>
    <t>Number of RWTs</t>
  </si>
  <si>
    <t>7. OSD Calculation</t>
  </si>
  <si>
    <t>Dimensions W/L</t>
  </si>
  <si>
    <t>OSD DEPTH</t>
  </si>
  <si>
    <t>Orifice Calculation:</t>
  </si>
  <si>
    <t>Using Bernoulli's Equation from the top of the weir wall (exposed to air and no velocity) to the base of Soakwell</t>
  </si>
  <si>
    <t>𝐶_𝑑 (discharge coefficient)</t>
  </si>
  <si>
    <t>Options</t>
  </si>
  <si>
    <t>Choosen</t>
  </si>
  <si>
    <t>Sharp-edged orifice:</t>
  </si>
  <si>
    <t>0.62 to 0.98</t>
  </si>
  <si>
    <t>Square-edged orifice:</t>
  </si>
  <si>
    <t>Thick plate-square edge</t>
  </si>
  <si>
    <t>0.86 to 0.99</t>
  </si>
  <si>
    <t>Rounded nozzle:</t>
  </si>
  <si>
    <t xml:space="preserve"> 0.98 to 1.00</t>
  </si>
  <si>
    <t>8. Emptying Time</t>
  </si>
  <si>
    <t>PSD ARI</t>
  </si>
  <si>
    <t>(default 5)</t>
  </si>
  <si>
    <t>OSD ARI</t>
  </si>
  <si>
    <t>(defult 10)</t>
  </si>
  <si>
    <t>SOIL TYPE</t>
  </si>
  <si>
    <t>(L/s)</t>
  </si>
  <si>
    <t>DURATION</t>
  </si>
  <si>
    <t>ROOF 
COEFFICIENT</t>
  </si>
  <si>
    <t>IMPERVIOUS 
COEFFICIENT</t>
  </si>
  <si>
    <t>PERVIOUS 
COEFFICIENT</t>
  </si>
  <si>
    <t>TOTAL AREA 
TO OSD</t>
  </si>
  <si>
    <t>PROPOSED 
ROOF AREA</t>
  </si>
  <si>
    <t>PROPOSED IMPERVIOUS 
PAVED
AREA</t>
  </si>
  <si>
    <t>PROPOSED
PERVIOUS 
AREA</t>
  </si>
  <si>
    <t>ACTUAL 
DISCHARGE
(POST-DEV)</t>
  </si>
  <si>
    <t>ACTUAL 
DISCHARGE 
VOLUME</t>
  </si>
  <si>
    <t>OSD 
FLOW RATE
(PRE-DEV)</t>
  </si>
  <si>
    <t>OSD 
DISCHARGE 
VOLUME</t>
  </si>
  <si>
    <t>REQUIRED 
OSD 
STORAGE</t>
  </si>
  <si>
    <t>Cr</t>
  </si>
  <si>
    <t>Ci</t>
  </si>
  <si>
    <t>Cp</t>
  </si>
  <si>
    <t>m2</t>
  </si>
  <si>
    <t>Calculate Inflow Volume</t>
  </si>
  <si>
    <t>Intensity</t>
  </si>
  <si>
    <t>Duration (secs)</t>
  </si>
  <si>
    <t>Inflow Volume(L)</t>
  </si>
  <si>
    <t>Outflow Volume(m3)
(Soakwell)</t>
  </si>
  <si>
    <t>Storage Required (m3)</t>
  </si>
  <si>
    <t>Max Storage =</t>
  </si>
  <si>
    <t>(m3)</t>
  </si>
  <si>
    <t>Critical Duration=</t>
  </si>
  <si>
    <t>Critical Intensity=</t>
  </si>
  <si>
    <t>Critical Flow Rate=</t>
  </si>
  <si>
    <t>(l/s)</t>
  </si>
  <si>
    <t>5% Intensity</t>
  </si>
  <si>
    <t xml:space="preserve">100 Year ARI </t>
  </si>
  <si>
    <t>1% Intensity</t>
  </si>
  <si>
    <t>Outflow Volume(m3)</t>
  </si>
  <si>
    <t xml:space="preserve"> Reference: Stormwater Management Manual - Chapter 9 - Structural Controls</t>
  </si>
  <si>
    <t xml:space="preserve"> Reference: ASNZS3500.3 Plumbing and Drainage</t>
  </si>
  <si>
    <t>Design AEP (Annual exceedence probability)</t>
  </si>
  <si>
    <t>%</t>
  </si>
  <si>
    <t>Please select your proposed soakwell size and number.</t>
  </si>
  <si>
    <t>Instructions</t>
  </si>
  <si>
    <r>
      <t>OSD FLOW RATE</t>
    </r>
    <r>
      <rPr>
        <b/>
        <i/>
        <sz val="10"/>
        <color theme="0"/>
        <rFont val="Aptos Narrow"/>
        <family val="2"/>
        <scheme val="minor"/>
      </rPr>
      <t xml:space="preserve"> (PRE-DEV)</t>
    </r>
  </si>
  <si>
    <r>
      <t xml:space="preserve">Note: </t>
    </r>
    <r>
      <rPr>
        <i/>
        <sz val="11"/>
        <color theme="0"/>
        <rFont val="Aptos Narrow"/>
        <family val="2"/>
        <scheme val="minor"/>
      </rPr>
      <t xml:space="preserve">d=0 for soakwells because only base area is for infiltration </t>
    </r>
    <r>
      <rPr>
        <b/>
        <i/>
        <sz val="11"/>
        <color theme="0"/>
        <rFont val="Aptos Narrow"/>
        <family val="2"/>
        <scheme val="minor"/>
      </rPr>
      <t xml:space="preserve">
Outflow Volume=</t>
    </r>
    <r>
      <rPr>
        <i/>
        <sz val="11"/>
        <color theme="0"/>
        <rFont val="Aptos Narrow"/>
        <family val="2"/>
        <scheme val="minor"/>
      </rPr>
      <t>(Ainf) x U x Kh x D</t>
    </r>
    <r>
      <rPr>
        <b/>
        <i/>
        <sz val="11"/>
        <color theme="0"/>
        <rFont val="Aptos Narrow"/>
        <family val="2"/>
        <scheme val="minor"/>
      </rPr>
      <t xml:space="preserve">
Outflow Rate=</t>
    </r>
    <r>
      <rPr>
        <i/>
        <sz val="11"/>
        <color theme="0"/>
        <rFont val="Aptos Narrow"/>
        <family val="2"/>
        <scheme val="minor"/>
      </rPr>
      <t>Ainf x U x Kh</t>
    </r>
  </si>
  <si>
    <r>
      <t xml:space="preserve">Roof area  </t>
    </r>
    <r>
      <rPr>
        <i/>
        <sz val="11"/>
        <color theme="1"/>
        <rFont val="Arial"/>
        <family val="2"/>
      </rPr>
      <t>(Must be connected to Soakwell or Rainwater Tank)</t>
    </r>
  </si>
  <si>
    <r>
      <t xml:space="preserve">Impervious Paved Area </t>
    </r>
    <r>
      <rPr>
        <i/>
        <sz val="11"/>
        <color theme="1"/>
        <rFont val="Arial"/>
        <family val="2"/>
      </rPr>
      <t>(Intended for soakwell connection)</t>
    </r>
  </si>
  <si>
    <r>
      <rPr>
        <b/>
        <sz val="10"/>
        <color theme="1"/>
        <rFont val="Arial"/>
        <family val="2"/>
      </rPr>
      <t xml:space="preserve">Soil Type </t>
    </r>
    <r>
      <rPr>
        <sz val="10"/>
        <color theme="1"/>
        <rFont val="Arial"/>
        <family val="2"/>
      </rPr>
      <t xml:space="preserve">= </t>
    </r>
    <r>
      <rPr>
        <b/>
        <sz val="10"/>
        <color theme="1"/>
        <rFont val="Arial"/>
        <family val="2"/>
      </rPr>
      <t>"Sand"</t>
    </r>
    <r>
      <rPr>
        <sz val="10"/>
        <color theme="1"/>
        <rFont val="Arial"/>
        <family val="2"/>
      </rPr>
      <t xml:space="preserve"> and </t>
    </r>
    <r>
      <rPr>
        <b/>
        <sz val="10"/>
        <color theme="1"/>
        <rFont val="Arial"/>
        <family val="2"/>
      </rPr>
      <t>Site Above Street Level</t>
    </r>
    <r>
      <rPr>
        <sz val="10"/>
        <color theme="1"/>
        <rFont val="Arial"/>
        <family val="2"/>
      </rPr>
      <t xml:space="preserve"> =</t>
    </r>
    <r>
      <rPr>
        <b/>
        <sz val="10"/>
        <color theme="1"/>
        <rFont val="Arial"/>
        <family val="2"/>
      </rPr>
      <t xml:space="preserve"> "YES" 
</t>
    </r>
    <r>
      <rPr>
        <sz val="10"/>
        <color theme="1"/>
        <rFont val="Arial"/>
        <family val="2"/>
      </rPr>
      <t xml:space="preserve">→ Design ARI Years (F25) = </t>
    </r>
    <r>
      <rPr>
        <b/>
        <i/>
        <sz val="10"/>
        <color theme="1"/>
        <rFont val="Arial"/>
        <family val="2"/>
      </rPr>
      <t>2 years</t>
    </r>
  </si>
  <si>
    <r>
      <rPr>
        <b/>
        <sz val="10"/>
        <color theme="1"/>
        <rFont val="Arial"/>
        <family val="2"/>
      </rPr>
      <t>Soil Type</t>
    </r>
    <r>
      <rPr>
        <sz val="10"/>
        <color theme="1"/>
        <rFont val="Arial"/>
        <family val="2"/>
      </rPr>
      <t xml:space="preserve"> ≠</t>
    </r>
    <r>
      <rPr>
        <b/>
        <sz val="10"/>
        <color theme="1"/>
        <rFont val="Arial"/>
        <family val="2"/>
      </rPr>
      <t xml:space="preserve"> "Sand"</t>
    </r>
    <r>
      <rPr>
        <sz val="10"/>
        <color theme="1"/>
        <rFont val="Arial"/>
        <family val="2"/>
      </rPr>
      <t xml:space="preserve"> and </t>
    </r>
    <r>
      <rPr>
        <b/>
        <sz val="10"/>
        <color theme="1"/>
        <rFont val="Arial"/>
        <family val="2"/>
      </rPr>
      <t xml:space="preserve">Site Above Street Level </t>
    </r>
    <r>
      <rPr>
        <sz val="10"/>
        <color theme="1"/>
        <rFont val="Arial"/>
        <family val="2"/>
      </rPr>
      <t>=</t>
    </r>
    <r>
      <rPr>
        <b/>
        <sz val="10"/>
        <color theme="1"/>
        <rFont val="Arial"/>
        <family val="2"/>
      </rPr>
      <t xml:space="preserve"> "YES"</t>
    </r>
    <r>
      <rPr>
        <sz val="10"/>
        <color theme="1"/>
        <rFont val="Arial"/>
        <family val="2"/>
      </rPr>
      <t xml:space="preserve"> 
→ Design ARI Years (F25) = </t>
    </r>
    <r>
      <rPr>
        <b/>
        <i/>
        <sz val="10"/>
        <color theme="1"/>
        <rFont val="Arial"/>
        <family val="2"/>
      </rPr>
      <t>20 years</t>
    </r>
  </si>
  <si>
    <r>
      <rPr>
        <b/>
        <sz val="10"/>
        <color theme="1"/>
        <rFont val="Arial"/>
        <family val="2"/>
      </rPr>
      <t xml:space="preserve">Site Above Street Level </t>
    </r>
    <r>
      <rPr>
        <sz val="10"/>
        <color theme="1"/>
        <rFont val="Arial"/>
        <family val="2"/>
      </rPr>
      <t xml:space="preserve"> = </t>
    </r>
    <r>
      <rPr>
        <b/>
        <sz val="10"/>
        <color theme="1"/>
        <rFont val="Arial"/>
        <family val="2"/>
      </rPr>
      <t xml:space="preserve">"NO"  </t>
    </r>
    <r>
      <rPr>
        <i/>
        <sz val="10"/>
        <color theme="1"/>
        <rFont val="Arial"/>
        <family val="2"/>
      </rPr>
      <t>(ponding)</t>
    </r>
    <r>
      <rPr>
        <sz val="10"/>
        <color theme="1"/>
        <rFont val="Arial"/>
        <family val="2"/>
      </rPr>
      <t xml:space="preserve">
→ Design ARI Years (F25) =</t>
    </r>
    <r>
      <rPr>
        <b/>
        <i/>
        <sz val="10"/>
        <color theme="1"/>
        <rFont val="Arial"/>
        <family val="2"/>
      </rPr>
      <t xml:space="preserve"> 100 years</t>
    </r>
  </si>
  <si>
    <r>
      <rPr>
        <i/>
        <sz val="11"/>
        <color theme="5" tint="-0.249977111117893"/>
        <rFont val="Arial"/>
        <family val="2"/>
      </rPr>
      <t xml:space="preserve">Refer to </t>
    </r>
    <r>
      <rPr>
        <b/>
        <i/>
        <sz val="11"/>
        <color theme="5" tint="-0.249977111117893"/>
        <rFont val="Arial"/>
        <family val="2"/>
      </rPr>
      <t>Design Parameters</t>
    </r>
    <r>
      <rPr>
        <i/>
        <sz val="11"/>
        <color theme="5" tint="-0.249977111117893"/>
        <rFont val="Arial"/>
        <family val="2"/>
      </rPr>
      <t xml:space="preserve"> for further details.</t>
    </r>
  </si>
  <si>
    <r>
      <rPr>
        <b/>
        <i/>
        <u/>
        <sz val="11"/>
        <color theme="0" tint="-0.14999847407452621"/>
        <rFont val="Arial"/>
        <family val="2"/>
      </rPr>
      <t>Note</t>
    </r>
    <r>
      <rPr>
        <b/>
        <i/>
        <sz val="11"/>
        <color theme="0" tint="-0.14999847407452621"/>
        <rFont val="Arial"/>
        <family val="2"/>
      </rPr>
      <t xml:space="preserve">: Sandy Clay, Medium Clay and Heavy Clay must connected to council's drainage system via </t>
    </r>
    <r>
      <rPr>
        <b/>
        <i/>
        <u/>
        <sz val="11"/>
        <color theme="0" tint="-0.14999847407452621"/>
        <rFont val="Arial"/>
        <family val="2"/>
      </rPr>
      <t>OSD Pit</t>
    </r>
  </si>
  <si>
    <t xml:space="preserve">Site details </t>
  </si>
  <si>
    <t xml:space="preserve">Soakwell selection </t>
  </si>
  <si>
    <t>Total volume provided</t>
  </si>
  <si>
    <t>Storage volume calculation</t>
  </si>
  <si>
    <t>Calculate your roof area here</t>
  </si>
  <si>
    <t>Is your property above street level?</t>
  </si>
  <si>
    <t>Total size of your property</t>
  </si>
  <si>
    <t>Any areas of your property where water will not soak in. E.g. concrete or paving</t>
  </si>
  <si>
    <t>If you are using more than one size soakwell, please add your additonal sizes below</t>
  </si>
  <si>
    <t>How many soakwells are you planning to install and what size?</t>
  </si>
  <si>
    <t>This TOTAL STORAGE REQUIRED is based on the site details provided</t>
  </si>
  <si>
    <t>This calculation shows your soakwell storage total capacity based on the size and number you have selected</t>
  </si>
  <si>
    <t>244 Vincent street</t>
  </si>
  <si>
    <r>
      <t xml:space="preserve">If highlighted </t>
    </r>
    <r>
      <rPr>
        <sz val="15"/>
        <color rgb="FF92D050"/>
        <rFont val="Arial"/>
        <family val="2"/>
      </rPr>
      <t>GREEN</t>
    </r>
    <r>
      <rPr>
        <sz val="15"/>
        <color theme="1"/>
        <rFont val="Arial"/>
        <family val="2"/>
      </rPr>
      <t xml:space="preserve"> you have provided compliant storage requirements for your site</t>
    </r>
  </si>
  <si>
    <r>
      <t xml:space="preserve">If highlighted </t>
    </r>
    <r>
      <rPr>
        <sz val="15"/>
        <color rgb="FFFF0000"/>
        <rFont val="Arial"/>
        <family val="2"/>
      </rPr>
      <t>RED</t>
    </r>
    <r>
      <rPr>
        <sz val="15"/>
        <color theme="1"/>
        <rFont val="Arial"/>
        <family val="2"/>
      </rPr>
      <t xml:space="preserve"> please increase your soakwell size and/or number to accommodate compliant storage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</si>
</sst>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00"/>
    <numFmt numFmtId="167" formatCode="0.0000"/>
    <numFmt numFmtId="168" formatCode="0.000000000"/>
  </numFmts>
  <fonts count="6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2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5" tint="-0.249977111117893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0"/>
      <name val="Aptos Narrow"/>
      <family val="2"/>
      <scheme val="minor"/>
    </font>
    <font>
      <sz val="9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i/>
      <sz val="10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b/>
      <i/>
      <sz val="10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2"/>
      <name val="Aptos Narrow"/>
      <family val="2"/>
      <scheme val="minor"/>
    </font>
    <font>
      <b/>
      <sz val="48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sz val="12"/>
      <color theme="0" tint="-0.14999847407452621"/>
      <name val="Arial"/>
      <family val="2"/>
    </font>
    <font>
      <sz val="11"/>
      <color theme="0" tint="-0.14999847407452621"/>
      <name val="Arial"/>
      <family val="2"/>
    </font>
    <font>
      <i/>
      <sz val="11"/>
      <color theme="1"/>
      <name val="Arial"/>
      <family val="2"/>
    </font>
    <font>
      <b/>
      <i/>
      <sz val="10"/>
      <color theme="5" tint="-0.249977111117893"/>
      <name val="Arial"/>
      <family val="2"/>
    </font>
    <font>
      <b/>
      <i/>
      <sz val="11"/>
      <color theme="1"/>
      <name val="Arial"/>
      <family val="2"/>
    </font>
    <font>
      <i/>
      <sz val="11"/>
      <color theme="0" tint="-0.14999847407452621"/>
      <name val="Arial"/>
      <family val="2"/>
    </font>
    <font>
      <b/>
      <i/>
      <sz val="11"/>
      <color theme="5" tint="-0.249977111117893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i/>
      <sz val="11"/>
      <name val="Arial"/>
      <family val="2"/>
    </font>
    <font>
      <i/>
      <sz val="10"/>
      <color theme="1"/>
      <name val="Arial"/>
      <family val="2"/>
    </font>
    <font>
      <sz val="11"/>
      <name val="Arial"/>
      <family val="2"/>
    </font>
    <font>
      <i/>
      <sz val="11"/>
      <color theme="5" tint="-0.249977111117893"/>
      <name val="Arial"/>
      <family val="2"/>
    </font>
    <font>
      <b/>
      <sz val="12"/>
      <color theme="1"/>
      <name val="Arial"/>
      <family val="2"/>
    </font>
    <font>
      <b/>
      <sz val="11"/>
      <color theme="0" tint="-0.14999847407452621"/>
      <name val="Arial"/>
      <family val="2"/>
    </font>
    <font>
      <b/>
      <i/>
      <sz val="11"/>
      <color theme="0" tint="-0.14999847407452621"/>
      <name val="Arial"/>
      <family val="2"/>
    </font>
    <font>
      <b/>
      <i/>
      <u/>
      <sz val="11"/>
      <color theme="0" tint="-0.14999847407452621"/>
      <name val="Arial"/>
      <family val="2"/>
    </font>
    <font>
      <b/>
      <sz val="11"/>
      <name val="Arial"/>
      <family val="2"/>
    </font>
    <font>
      <b/>
      <i/>
      <sz val="12"/>
      <color theme="1"/>
      <name val="Arial"/>
      <family val="2"/>
    </font>
    <font>
      <b/>
      <i/>
      <sz val="11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i/>
      <sz val="11"/>
      <color rgb="FF000000"/>
      <name val="Arial"/>
      <family val="2"/>
    </font>
    <font>
      <b/>
      <sz val="16"/>
      <color theme="0"/>
      <name val="Arial"/>
      <family val="2"/>
    </font>
    <font>
      <sz val="15"/>
      <color theme="1"/>
      <name val="Arial"/>
      <family val="2"/>
    </font>
    <font>
      <sz val="15"/>
      <color theme="1"/>
      <name val="Aptos Narrow"/>
      <family val="2"/>
      <scheme val="minor"/>
    </font>
    <font>
      <b/>
      <sz val="15"/>
      <color theme="1"/>
      <name val="Arial"/>
      <family val="2"/>
    </font>
    <font>
      <b/>
      <sz val="15"/>
      <color theme="1"/>
      <name val="Aptos Narrow"/>
      <family val="2"/>
      <scheme val="minor"/>
    </font>
    <font>
      <i/>
      <sz val="15"/>
      <color theme="1"/>
      <name val="Arial"/>
      <family val="2"/>
    </font>
    <font>
      <u/>
      <sz val="15"/>
      <color theme="10"/>
      <name val="Arial"/>
      <family val="2"/>
    </font>
    <font>
      <sz val="15"/>
      <name val="Aptos Narrow"/>
      <family val="2"/>
      <scheme val="minor"/>
    </font>
    <font>
      <sz val="15"/>
      <color rgb="FF92D050"/>
      <name val="Arial"/>
      <family val="2"/>
    </font>
    <font>
      <sz val="15"/>
      <color rgb="FFFF0000"/>
      <name val="Arial"/>
      <family val="2"/>
    </font>
    <font>
      <b/>
      <i/>
      <sz val="11"/>
      <color theme="0"/>
      <name val="Arial"/>
      <family val="2"/>
    </font>
    <font>
      <b/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6F7B"/>
        <bgColor indexed="64"/>
      </patternFill>
    </fill>
    <fill>
      <patternFill patternType="solid">
        <fgColor rgb="FF00B1B1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medium">
        <color auto="1"/>
      </left>
      <right style="thick">
        <color indexed="64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68">
    <xf numFmtId="0" fontId="0" fillId="0" borderId="0" xfId="0"/>
    <xf numFmtId="0" fontId="15" fillId="7" borderId="0" xfId="0" applyFont="1" applyFill="1" applyProtection="1">
      <protection hidden="1"/>
    </xf>
    <xf numFmtId="0" fontId="15" fillId="7" borderId="0" xfId="0" applyFont="1" applyFill="1" applyAlignment="1" applyProtection="1">
      <alignment horizontal="center" vertical="center"/>
      <protection hidden="1"/>
    </xf>
    <xf numFmtId="0" fontId="15" fillId="7" borderId="0" xfId="0" applyFont="1" applyFill="1" applyAlignment="1" applyProtection="1">
      <alignment horizontal="center" vertical="center" wrapText="1"/>
      <protection hidden="1"/>
    </xf>
    <xf numFmtId="0" fontId="15" fillId="7" borderId="0" xfId="0" applyFont="1" applyFill="1" applyAlignment="1" applyProtection="1">
      <alignment horizontal="center"/>
      <protection hidden="1"/>
    </xf>
    <xf numFmtId="2" fontId="15" fillId="7" borderId="0" xfId="0" applyNumberFormat="1" applyFont="1" applyFill="1" applyAlignment="1" applyProtection="1">
      <alignment horizontal="center" vertical="center"/>
      <protection hidden="1"/>
    </xf>
    <xf numFmtId="0" fontId="16" fillId="7" borderId="0" xfId="0" applyFont="1" applyFill="1" applyAlignment="1" applyProtection="1">
      <alignment horizontal="left"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18" fillId="7" borderId="0" xfId="0" applyFont="1" applyFill="1" applyAlignment="1" applyProtection="1">
      <alignment horizontal="left" vertical="center"/>
      <protection hidden="1"/>
    </xf>
    <xf numFmtId="0" fontId="19" fillId="7" borderId="0" xfId="0" applyFont="1" applyFill="1" applyAlignment="1" applyProtection="1">
      <alignment horizontal="center" vertical="center"/>
      <protection hidden="1"/>
    </xf>
    <xf numFmtId="0" fontId="16" fillId="7" borderId="0" xfId="0" applyFont="1" applyFill="1" applyAlignment="1" applyProtection="1">
      <alignment horizontal="left" vertical="center" wrapText="1"/>
      <protection hidden="1"/>
    </xf>
    <xf numFmtId="2" fontId="17" fillId="7" borderId="0" xfId="0" applyNumberFormat="1" applyFont="1" applyFill="1" applyAlignment="1" applyProtection="1">
      <alignment horizontal="center" vertical="center"/>
      <protection hidden="1"/>
    </xf>
    <xf numFmtId="0" fontId="14" fillId="7" borderId="0" xfId="0" applyFont="1" applyFill="1" applyAlignment="1" applyProtection="1">
      <alignment horizontal="center" vertical="center"/>
      <protection hidden="1"/>
    </xf>
    <xf numFmtId="0" fontId="14" fillId="7" borderId="0" xfId="0" applyFont="1" applyFill="1" applyAlignment="1" applyProtection="1">
      <alignment horizontal="center" vertical="center" wrapText="1"/>
      <protection hidden="1"/>
    </xf>
    <xf numFmtId="0" fontId="21" fillId="7" borderId="0" xfId="0" applyFont="1" applyFill="1" applyAlignment="1" applyProtection="1">
      <alignment horizontal="left" vertical="center"/>
      <protection hidden="1"/>
    </xf>
    <xf numFmtId="0" fontId="21" fillId="7" borderId="0" xfId="0" applyFont="1" applyFill="1" applyAlignment="1" applyProtection="1">
      <alignment horizontal="center" vertical="center"/>
      <protection hidden="1"/>
    </xf>
    <xf numFmtId="165" fontId="15" fillId="7" borderId="0" xfId="0" applyNumberFormat="1" applyFont="1" applyFill="1" applyAlignment="1" applyProtection="1">
      <alignment horizontal="center" vertical="center"/>
      <protection hidden="1"/>
    </xf>
    <xf numFmtId="164" fontId="15" fillId="7" borderId="0" xfId="0" applyNumberFormat="1" applyFont="1" applyFill="1" applyAlignment="1" applyProtection="1">
      <alignment horizontal="center" vertical="center"/>
      <protection hidden="1"/>
    </xf>
    <xf numFmtId="0" fontId="17" fillId="7" borderId="0" xfId="0" applyFont="1" applyFill="1" applyProtection="1">
      <protection hidden="1"/>
    </xf>
    <xf numFmtId="0" fontId="14" fillId="7" borderId="0" xfId="0" applyFont="1" applyFill="1" applyProtection="1">
      <protection hidden="1"/>
    </xf>
    <xf numFmtId="0" fontId="23" fillId="7" borderId="0" xfId="0" applyFont="1" applyFill="1" applyProtection="1">
      <protection hidden="1"/>
    </xf>
    <xf numFmtId="0" fontId="15" fillId="7" borderId="0" xfId="0" applyFont="1" applyFill="1" applyAlignment="1" applyProtection="1">
      <alignment horizontal="left" vertical="center"/>
      <protection hidden="1"/>
    </xf>
    <xf numFmtId="0" fontId="14" fillId="7" borderId="0" xfId="0" applyFont="1" applyFill="1" applyAlignment="1" applyProtection="1">
      <alignment horizontal="left" vertical="center"/>
      <protection hidden="1"/>
    </xf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166" fontId="0" fillId="0" borderId="0" xfId="0" applyNumberFormat="1" applyProtection="1">
      <protection hidden="1"/>
    </xf>
    <xf numFmtId="0" fontId="0" fillId="5" borderId="22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10" fontId="0" fillId="5" borderId="5" xfId="0" applyNumberFormat="1" applyFill="1" applyBorder="1" applyProtection="1">
      <protection hidden="1"/>
    </xf>
    <xf numFmtId="9" fontId="0" fillId="5" borderId="5" xfId="0" applyNumberFormat="1" applyFill="1" applyBorder="1" applyProtection="1">
      <protection hidden="1"/>
    </xf>
    <xf numFmtId="9" fontId="0" fillId="5" borderId="26" xfId="0" applyNumberFormat="1" applyFill="1" applyBorder="1" applyProtection="1">
      <protection hidden="1"/>
    </xf>
    <xf numFmtId="0" fontId="0" fillId="5" borderId="2" xfId="0" applyFill="1" applyBorder="1" applyProtection="1">
      <protection hidden="1"/>
    </xf>
    <xf numFmtId="0" fontId="0" fillId="5" borderId="0" xfId="0" applyFill="1" applyProtection="1">
      <protection hidden="1"/>
    </xf>
    <xf numFmtId="2" fontId="0" fillId="5" borderId="0" xfId="0" applyNumberFormat="1" applyFill="1" applyProtection="1">
      <protection hidden="1"/>
    </xf>
    <xf numFmtId="2" fontId="0" fillId="5" borderId="3" xfId="0" applyNumberFormat="1" applyFill="1" applyBorder="1" applyProtection="1">
      <protection hidden="1"/>
    </xf>
    <xf numFmtId="0" fontId="0" fillId="0" borderId="1" xfId="0" applyBorder="1" applyProtection="1">
      <protection hidden="1"/>
    </xf>
    <xf numFmtId="10" fontId="0" fillId="0" borderId="5" xfId="0" applyNumberFormat="1" applyBorder="1" applyProtection="1">
      <protection hidden="1"/>
    </xf>
    <xf numFmtId="9" fontId="0" fillId="0" borderId="5" xfId="0" applyNumberFormat="1" applyBorder="1" applyProtection="1">
      <protection hidden="1"/>
    </xf>
    <xf numFmtId="0" fontId="12" fillId="0" borderId="0" xfId="0" applyFont="1" applyAlignment="1" applyProtection="1">
      <alignment vertical="top"/>
      <protection hidden="1"/>
    </xf>
    <xf numFmtId="0" fontId="0" fillId="0" borderId="4" xfId="0" applyBorder="1" applyProtection="1">
      <protection hidden="1"/>
    </xf>
    <xf numFmtId="0" fontId="13" fillId="0" borderId="0" xfId="0" applyFont="1" applyAlignment="1" applyProtection="1">
      <alignment vertical="top"/>
      <protection hidden="1"/>
    </xf>
    <xf numFmtId="1" fontId="11" fillId="0" borderId="0" xfId="0" applyNumberFormat="1" applyFont="1" applyAlignment="1" applyProtection="1">
      <alignment horizontal="left" vertical="top" shrinkToFit="1"/>
      <protection hidden="1"/>
    </xf>
    <xf numFmtId="2" fontId="11" fillId="0" borderId="0" xfId="0" applyNumberFormat="1" applyFont="1" applyAlignment="1" applyProtection="1">
      <alignment horizontal="left" vertical="top" shrinkToFit="1"/>
      <protection hidden="1"/>
    </xf>
    <xf numFmtId="2" fontId="0" fillId="5" borderId="0" xfId="0" applyNumberFormat="1" applyFill="1" applyAlignment="1" applyProtection="1">
      <alignment horizontal="center"/>
      <protection hidden="1"/>
    </xf>
    <xf numFmtId="165" fontId="0" fillId="5" borderId="0" xfId="0" applyNumberForma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5" borderId="6" xfId="0" applyFill="1" applyBorder="1" applyProtection="1">
      <protection hidden="1"/>
    </xf>
    <xf numFmtId="0" fontId="0" fillId="5" borderId="7" xfId="0" applyFill="1" applyBorder="1" applyProtection="1">
      <protection hidden="1"/>
    </xf>
    <xf numFmtId="2" fontId="0" fillId="5" borderId="7" xfId="0" applyNumberFormat="1" applyFill="1" applyBorder="1" applyProtection="1">
      <protection hidden="1"/>
    </xf>
    <xf numFmtId="2" fontId="0" fillId="5" borderId="8" xfId="0" applyNumberFormat="1" applyFill="1" applyBorder="1" applyProtection="1">
      <protection hidden="1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0" xfId="0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3" fillId="0" borderId="0" xfId="1" applyProtection="1">
      <protection locked="0"/>
    </xf>
    <xf numFmtId="0" fontId="33" fillId="5" borderId="20" xfId="0" applyFont="1" applyFill="1" applyBorder="1" applyAlignment="1" applyProtection="1">
      <alignment horizontal="center" vertical="center"/>
      <protection hidden="1"/>
    </xf>
    <xf numFmtId="1" fontId="33" fillId="5" borderId="20" xfId="0" applyNumberFormat="1" applyFont="1" applyFill="1" applyBorder="1" applyAlignment="1" applyProtection="1">
      <alignment horizontal="center" vertical="center"/>
      <protection hidden="1"/>
    </xf>
    <xf numFmtId="1" fontId="28" fillId="3" borderId="10" xfId="0" applyNumberFormat="1" applyFont="1" applyFill="1" applyBorder="1" applyAlignment="1" applyProtection="1">
      <alignment horizontal="center" vertical="center"/>
      <protection hidden="1"/>
    </xf>
    <xf numFmtId="1" fontId="28" fillId="4" borderId="9" xfId="0" applyNumberFormat="1" applyFont="1" applyFill="1" applyBorder="1" applyAlignment="1" applyProtection="1">
      <alignment horizontal="center" vertical="center"/>
      <protection hidden="1"/>
    </xf>
    <xf numFmtId="0" fontId="33" fillId="3" borderId="6" xfId="0" applyFont="1" applyFill="1" applyBorder="1" applyAlignment="1">
      <alignment horizontal="left" vertical="center"/>
    </xf>
    <xf numFmtId="0" fontId="30" fillId="4" borderId="9" xfId="0" applyFont="1" applyFill="1" applyBorder="1" applyAlignment="1">
      <alignment horizontal="center" vertical="center"/>
    </xf>
    <xf numFmtId="0" fontId="35" fillId="5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2" fontId="41" fillId="4" borderId="1" xfId="0" applyNumberFormat="1" applyFont="1" applyFill="1" applyBorder="1" applyAlignment="1">
      <alignment horizontal="center" vertical="center"/>
    </xf>
    <xf numFmtId="165" fontId="33" fillId="5" borderId="1" xfId="0" applyNumberFormat="1" applyFont="1" applyFill="1" applyBorder="1" applyAlignment="1">
      <alignment horizontal="center" vertical="center" wrapText="1"/>
    </xf>
    <xf numFmtId="1" fontId="41" fillId="5" borderId="5" xfId="0" applyNumberFormat="1" applyFont="1" applyFill="1" applyBorder="1" applyAlignment="1">
      <alignment horizontal="center" vertical="center"/>
    </xf>
    <xf numFmtId="1" fontId="41" fillId="5" borderId="28" xfId="0" applyNumberFormat="1" applyFont="1" applyFill="1" applyBorder="1" applyAlignment="1">
      <alignment horizontal="center" vertical="center"/>
    </xf>
    <xf numFmtId="2" fontId="41" fillId="5" borderId="28" xfId="0" applyNumberFormat="1" applyFont="1" applyFill="1" applyBorder="1" applyAlignment="1">
      <alignment horizontal="center" vertical="center"/>
    </xf>
    <xf numFmtId="2" fontId="41" fillId="5" borderId="29" xfId="0" applyNumberFormat="1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8" fillId="3" borderId="30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1" fontId="28" fillId="4" borderId="1" xfId="0" applyNumberFormat="1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/>
    </xf>
    <xf numFmtId="0" fontId="28" fillId="3" borderId="27" xfId="0" applyFont="1" applyFill="1" applyBorder="1" applyAlignment="1">
      <alignment horizontal="center" vertical="center" wrapText="1"/>
    </xf>
    <xf numFmtId="2" fontId="43" fillId="3" borderId="1" xfId="0" applyNumberFormat="1" applyFont="1" applyFill="1" applyBorder="1" applyAlignment="1">
      <alignment horizontal="center" vertical="center"/>
    </xf>
    <xf numFmtId="0" fontId="27" fillId="4" borderId="27" xfId="0" applyFont="1" applyFill="1" applyBorder="1" applyAlignment="1">
      <alignment horizontal="center" vertical="center" wrapText="1"/>
    </xf>
    <xf numFmtId="1" fontId="49" fillId="4" borderId="1" xfId="0" applyNumberFormat="1" applyFont="1" applyFill="1" applyBorder="1" applyAlignment="1">
      <alignment horizontal="center" vertical="center"/>
    </xf>
    <xf numFmtId="0" fontId="33" fillId="5" borderId="1" xfId="0" applyFont="1" applyFill="1" applyBorder="1" applyAlignment="1">
      <alignment horizontal="center" vertical="center" wrapText="1"/>
    </xf>
    <xf numFmtId="2" fontId="41" fillId="5" borderId="1" xfId="0" applyNumberFormat="1" applyFont="1" applyFill="1" applyBorder="1" applyAlignment="1">
      <alignment horizontal="center" vertical="center"/>
    </xf>
    <xf numFmtId="2" fontId="43" fillId="4" borderId="1" xfId="0" applyNumberFormat="1" applyFont="1" applyFill="1" applyBorder="1" applyAlignment="1">
      <alignment horizontal="center" vertical="center"/>
    </xf>
    <xf numFmtId="0" fontId="43" fillId="4" borderId="9" xfId="0" applyFont="1" applyFill="1" applyBorder="1" applyAlignment="1">
      <alignment horizontal="center" vertical="center"/>
    </xf>
    <xf numFmtId="0" fontId="43" fillId="4" borderId="19" xfId="0" applyFont="1" applyFill="1" applyBorder="1" applyAlignment="1">
      <alignment horizontal="center" vertical="center"/>
    </xf>
    <xf numFmtId="2" fontId="51" fillId="5" borderId="1" xfId="0" applyNumberFormat="1" applyFont="1" applyFill="1" applyBorder="1" applyAlignment="1">
      <alignment horizontal="center" vertical="center"/>
    </xf>
    <xf numFmtId="0" fontId="33" fillId="3" borderId="22" xfId="0" applyFont="1" applyFill="1" applyBorder="1" applyAlignment="1">
      <alignment vertical="center"/>
    </xf>
    <xf numFmtId="0" fontId="28" fillId="3" borderId="23" xfId="0" applyFont="1" applyFill="1" applyBorder="1" applyAlignment="1">
      <alignment horizontal="center" vertical="center" wrapText="1"/>
    </xf>
    <xf numFmtId="0" fontId="33" fillId="3" borderId="2" xfId="0" applyFont="1" applyFill="1" applyBorder="1" applyAlignment="1">
      <alignment horizontal="left" vertical="center"/>
    </xf>
    <xf numFmtId="0" fontId="28" fillId="3" borderId="7" xfId="0" applyFont="1" applyFill="1" applyBorder="1" applyAlignment="1">
      <alignment horizontal="center" vertical="center" wrapText="1"/>
    </xf>
    <xf numFmtId="2" fontId="35" fillId="5" borderId="9" xfId="0" applyNumberFormat="1" applyFont="1" applyFill="1" applyBorder="1" applyAlignment="1">
      <alignment horizontal="center" vertical="center"/>
    </xf>
    <xf numFmtId="0" fontId="28" fillId="10" borderId="9" xfId="0" applyFont="1" applyFill="1" applyBorder="1" applyAlignment="1" applyProtection="1">
      <alignment horizontal="center" vertical="center"/>
      <protection locked="0"/>
    </xf>
    <xf numFmtId="0" fontId="45" fillId="10" borderId="1" xfId="0" applyFont="1" applyFill="1" applyBorder="1" applyAlignment="1" applyProtection="1">
      <alignment horizontal="center" vertical="center" wrapText="1"/>
      <protection locked="0"/>
    </xf>
    <xf numFmtId="0" fontId="28" fillId="10" borderId="1" xfId="0" applyFont="1" applyFill="1" applyBorder="1" applyAlignment="1" applyProtection="1">
      <alignment horizontal="center" vertical="center" wrapText="1"/>
      <protection locked="0"/>
    </xf>
    <xf numFmtId="1" fontId="43" fillId="10" borderId="31" xfId="0" applyNumberFormat="1" applyFont="1" applyFill="1" applyBorder="1" applyAlignment="1" applyProtection="1">
      <alignment horizontal="center" vertical="center"/>
      <protection locked="0"/>
    </xf>
    <xf numFmtId="1" fontId="28" fillId="10" borderId="9" xfId="0" applyNumberFormat="1" applyFont="1" applyFill="1" applyBorder="1" applyAlignment="1" applyProtection="1">
      <alignment horizontal="center" vertical="center"/>
      <protection locked="0"/>
    </xf>
    <xf numFmtId="0" fontId="30" fillId="3" borderId="19" xfId="0" applyFont="1" applyFill="1" applyBorder="1" applyAlignment="1">
      <alignment horizontal="center" vertical="center" wrapText="1"/>
    </xf>
    <xf numFmtId="0" fontId="7" fillId="0" borderId="1" xfId="0" applyFont="1" applyBorder="1"/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2" fontId="7" fillId="0" borderId="0" xfId="0" applyNumberFormat="1" applyFont="1" applyAlignment="1">
      <alignment horizontal="center"/>
    </xf>
    <xf numFmtId="2" fontId="7" fillId="0" borderId="0" xfId="0" applyNumberFormat="1" applyFont="1"/>
    <xf numFmtId="0" fontId="7" fillId="0" borderId="0" xfId="0" applyFont="1" applyAlignment="1">
      <alignment horizontal="center"/>
    </xf>
    <xf numFmtId="2" fontId="7" fillId="0" borderId="0" xfId="0" applyNumberFormat="1" applyFont="1" applyAlignment="1">
      <alignment horizontal="center" vertical="center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  <xf numFmtId="2" fontId="7" fillId="2" borderId="1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167" fontId="7" fillId="2" borderId="1" xfId="0" applyNumberFormat="1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2" fontId="7" fillId="8" borderId="1" xfId="0" applyNumberFormat="1" applyFont="1" applyFill="1" applyBorder="1" applyAlignment="1">
      <alignment horizontal="center"/>
    </xf>
    <xf numFmtId="0" fontId="7" fillId="8" borderId="1" xfId="0" applyFont="1" applyFill="1" applyBorder="1"/>
    <xf numFmtId="164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167" fontId="7" fillId="0" borderId="0" xfId="0" applyNumberFormat="1" applyFont="1" applyAlignment="1">
      <alignment horizontal="center"/>
    </xf>
    <xf numFmtId="164" fontId="7" fillId="8" borderId="1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9" fontId="7" fillId="0" borderId="0" xfId="0" applyNumberFormat="1" applyFont="1" applyAlignment="1">
      <alignment horizontal="center"/>
    </xf>
    <xf numFmtId="0" fontId="0" fillId="7" borderId="0" xfId="0" applyFill="1" applyAlignment="1">
      <alignment vertical="center" wrapText="1"/>
    </xf>
    <xf numFmtId="0" fontId="0" fillId="7" borderId="0" xfId="0" applyFill="1" applyAlignment="1">
      <alignment vertical="center"/>
    </xf>
    <xf numFmtId="0" fontId="0" fillId="7" borderId="0" xfId="0" applyFill="1" applyAlignment="1">
      <alignment horizontal="left" vertical="center" wrapText="1"/>
    </xf>
    <xf numFmtId="164" fontId="0" fillId="7" borderId="0" xfId="0" applyNumberFormat="1" applyFill="1" applyAlignment="1">
      <alignment horizontal="center" vertical="center" wrapText="1"/>
    </xf>
    <xf numFmtId="0" fontId="0" fillId="7" borderId="0" xfId="0" applyFill="1" applyAlignment="1">
      <alignment horizontal="left" vertical="center"/>
    </xf>
    <xf numFmtId="2" fontId="0" fillId="7" borderId="0" xfId="0" applyNumberFormat="1" applyFill="1" applyAlignment="1">
      <alignment horizontal="center" vertical="center"/>
    </xf>
    <xf numFmtId="1" fontId="10" fillId="7" borderId="0" xfId="0" applyNumberFormat="1" applyFont="1" applyFill="1" applyAlignment="1">
      <alignment horizontal="left" vertical="center" shrinkToFit="1"/>
    </xf>
    <xf numFmtId="2" fontId="10" fillId="7" borderId="0" xfId="0" applyNumberFormat="1" applyFont="1" applyFill="1" applyAlignment="1">
      <alignment horizontal="center" vertical="center" shrinkToFit="1"/>
    </xf>
    <xf numFmtId="1" fontId="11" fillId="7" borderId="0" xfId="0" applyNumberFormat="1" applyFont="1" applyFill="1" applyAlignment="1">
      <alignment horizontal="left" vertical="center" shrinkToFit="1"/>
    </xf>
    <xf numFmtId="2" fontId="11" fillId="7" borderId="0" xfId="0" applyNumberFormat="1" applyFont="1" applyFill="1" applyAlignment="1">
      <alignment horizontal="center" vertical="center" shrinkToFit="1"/>
    </xf>
    <xf numFmtId="0" fontId="28" fillId="7" borderId="0" xfId="0" applyFont="1" applyFill="1" applyAlignment="1">
      <alignment vertical="center" wrapText="1"/>
    </xf>
    <xf numFmtId="0" fontId="27" fillId="7" borderId="0" xfId="0" applyFont="1" applyFill="1" applyAlignment="1">
      <alignment horizontal="left" vertical="center" wrapText="1"/>
    </xf>
    <xf numFmtId="0" fontId="28" fillId="7" borderId="0" xfId="0" applyFont="1" applyFill="1" applyAlignment="1">
      <alignment horizontal="left" vertical="center" wrapText="1"/>
    </xf>
    <xf numFmtId="0" fontId="28" fillId="7" borderId="0" xfId="0" applyFont="1" applyFill="1" applyAlignment="1">
      <alignment vertical="center"/>
    </xf>
    <xf numFmtId="2" fontId="33" fillId="7" borderId="0" xfId="0" applyNumberFormat="1" applyFont="1" applyFill="1" applyAlignment="1">
      <alignment horizontal="center" vertical="center" wrapText="1"/>
    </xf>
    <xf numFmtId="0" fontId="28" fillId="7" borderId="0" xfId="0" applyFont="1" applyFill="1" applyAlignment="1">
      <alignment horizontal="left" vertical="center"/>
    </xf>
    <xf numFmtId="164" fontId="33" fillId="7" borderId="0" xfId="0" applyNumberFormat="1" applyFont="1" applyFill="1" applyAlignment="1">
      <alignment horizontal="center" vertical="center" wrapText="1"/>
    </xf>
    <xf numFmtId="1" fontId="52" fillId="7" borderId="0" xfId="0" applyNumberFormat="1" applyFont="1" applyFill="1" applyAlignment="1">
      <alignment horizontal="left" vertical="center" shrinkToFit="1"/>
    </xf>
    <xf numFmtId="2" fontId="53" fillId="7" borderId="0" xfId="0" applyNumberFormat="1" applyFont="1" applyFill="1" applyAlignment="1">
      <alignment horizontal="center" vertical="center" shrinkToFit="1"/>
    </xf>
    <xf numFmtId="2" fontId="54" fillId="7" borderId="0" xfId="0" applyNumberFormat="1" applyFont="1" applyFill="1" applyAlignment="1">
      <alignment horizontal="center" vertical="center" shrinkToFit="1"/>
    </xf>
    <xf numFmtId="2" fontId="52" fillId="7" borderId="0" xfId="0" applyNumberFormat="1" applyFont="1" applyFill="1" applyAlignment="1">
      <alignment horizontal="left" vertical="center" shrinkToFit="1"/>
    </xf>
    <xf numFmtId="164" fontId="54" fillId="7" borderId="0" xfId="0" applyNumberFormat="1" applyFont="1" applyFill="1" applyAlignment="1">
      <alignment horizontal="center" vertical="center" shrinkToFit="1"/>
    </xf>
    <xf numFmtId="0" fontId="29" fillId="7" borderId="0" xfId="0" applyFont="1" applyFill="1" applyAlignment="1">
      <alignment horizontal="left" vertical="center" wrapText="1"/>
    </xf>
    <xf numFmtId="0" fontId="27" fillId="7" borderId="0" xfId="0" applyFont="1" applyFill="1" applyAlignment="1">
      <alignment horizontal="center" vertical="center" wrapText="1"/>
    </xf>
    <xf numFmtId="164" fontId="35" fillId="7" borderId="0" xfId="0" applyNumberFormat="1" applyFont="1" applyFill="1" applyAlignment="1">
      <alignment horizontal="center" vertical="center" wrapText="1"/>
    </xf>
    <xf numFmtId="2" fontId="35" fillId="7" borderId="0" xfId="0" applyNumberFormat="1" applyFont="1" applyFill="1" applyAlignment="1">
      <alignment horizontal="center" vertical="center" wrapText="1"/>
    </xf>
    <xf numFmtId="2" fontId="52" fillId="7" borderId="0" xfId="0" applyNumberFormat="1" applyFont="1" applyFill="1" applyAlignment="1">
      <alignment horizontal="center" vertical="center" shrinkToFit="1"/>
    </xf>
    <xf numFmtId="164" fontId="52" fillId="7" borderId="0" xfId="0" applyNumberFormat="1" applyFont="1" applyFill="1" applyAlignment="1">
      <alignment horizontal="center" vertical="center" shrinkToFit="1"/>
    </xf>
    <xf numFmtId="1" fontId="53" fillId="7" borderId="0" xfId="0" applyNumberFormat="1" applyFont="1" applyFill="1" applyAlignment="1">
      <alignment horizontal="left" vertical="center" shrinkToFit="1"/>
    </xf>
    <xf numFmtId="2" fontId="28" fillId="7" borderId="0" xfId="0" applyNumberFormat="1" applyFont="1" applyFill="1" applyAlignment="1">
      <alignment horizontal="center" vertical="center"/>
    </xf>
    <xf numFmtId="2" fontId="52" fillId="7" borderId="0" xfId="0" applyNumberFormat="1" applyFont="1" applyFill="1" applyAlignment="1" applyProtection="1">
      <alignment horizontal="center" vertical="center" shrinkToFit="1"/>
      <protection hidden="1"/>
    </xf>
    <xf numFmtId="0" fontId="27" fillId="7" borderId="0" xfId="0" applyFont="1" applyFill="1" applyAlignment="1">
      <alignment vertical="center"/>
    </xf>
    <xf numFmtId="0" fontId="1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0" fontId="0" fillId="7" borderId="0" xfId="0" applyFill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0" fillId="10" borderId="0" xfId="0" applyFill="1" applyAlignment="1">
      <alignment vertical="center"/>
    </xf>
    <xf numFmtId="0" fontId="8" fillId="10" borderId="0" xfId="0" applyFont="1" applyFill="1" applyAlignment="1">
      <alignment vertical="center"/>
    </xf>
    <xf numFmtId="2" fontId="9" fillId="10" borderId="0" xfId="0" applyNumberFormat="1" applyFont="1" applyFill="1" applyAlignment="1">
      <alignment vertical="center"/>
    </xf>
    <xf numFmtId="0" fontId="27" fillId="3" borderId="0" xfId="0" applyFont="1" applyFill="1" applyAlignment="1">
      <alignment horizontal="center" vertical="center" wrapText="1"/>
    </xf>
    <xf numFmtId="0" fontId="28" fillId="3" borderId="0" xfId="0" applyFont="1" applyFill="1" applyAlignment="1">
      <alignment horizontal="left" vertical="center" wrapText="1"/>
    </xf>
    <xf numFmtId="0" fontId="28" fillId="3" borderId="0" xfId="0" applyFont="1" applyFill="1" applyAlignment="1">
      <alignment vertical="center" wrapText="1"/>
    </xf>
    <xf numFmtId="0" fontId="31" fillId="3" borderId="0" xfId="0" applyFont="1" applyFill="1" applyAlignment="1">
      <alignment horizontal="center" vertical="center" wrapText="1"/>
    </xf>
    <xf numFmtId="0" fontId="32" fillId="3" borderId="0" xfId="0" applyFont="1" applyFill="1" applyAlignment="1">
      <alignment vertical="center" wrapText="1"/>
    </xf>
    <xf numFmtId="0" fontId="34" fillId="3" borderId="0" xfId="0" applyFont="1" applyFill="1" applyAlignment="1">
      <alignment vertical="center"/>
    </xf>
    <xf numFmtId="0" fontId="28" fillId="3" borderId="0" xfId="0" applyFont="1" applyFill="1" applyAlignment="1">
      <alignment vertical="center"/>
    </xf>
    <xf numFmtId="0" fontId="32" fillId="3" borderId="0" xfId="0" applyFont="1" applyFill="1" applyAlignment="1">
      <alignment horizontal="center" vertical="center"/>
    </xf>
    <xf numFmtId="0" fontId="32" fillId="3" borderId="0" xfId="0" applyFont="1" applyFill="1" applyAlignment="1">
      <alignment vertical="center"/>
    </xf>
    <xf numFmtId="0" fontId="35" fillId="3" borderId="0" xfId="0" applyFont="1" applyFill="1" applyAlignment="1">
      <alignment horizontal="left" vertical="center"/>
    </xf>
    <xf numFmtId="0" fontId="36" fillId="3" borderId="0" xfId="0" applyFont="1" applyFill="1" applyAlignment="1" applyProtection="1">
      <alignment horizontal="center" vertical="center"/>
      <protection hidden="1"/>
    </xf>
    <xf numFmtId="2" fontId="28" fillId="3" borderId="0" xfId="0" applyNumberFormat="1" applyFont="1" applyFill="1" applyAlignment="1">
      <alignment horizontal="left" vertical="center" wrapText="1"/>
    </xf>
    <xf numFmtId="1" fontId="36" fillId="3" borderId="0" xfId="0" applyNumberFormat="1" applyFont="1" applyFill="1" applyAlignment="1" applyProtection="1">
      <alignment horizontal="center" vertical="center"/>
      <protection hidden="1"/>
    </xf>
    <xf numFmtId="0" fontId="37" fillId="3" borderId="0" xfId="0" applyFont="1" applyFill="1" applyAlignment="1">
      <alignment vertical="center"/>
    </xf>
    <xf numFmtId="1" fontId="35" fillId="3" borderId="0" xfId="0" applyNumberFormat="1" applyFont="1" applyFill="1" applyAlignment="1" applyProtection="1">
      <alignment horizontal="center" vertical="center"/>
      <protection hidden="1"/>
    </xf>
    <xf numFmtId="168" fontId="33" fillId="3" borderId="0" xfId="0" applyNumberFormat="1" applyFont="1" applyFill="1" applyAlignment="1" applyProtection="1">
      <alignment horizontal="center" vertical="center"/>
      <protection hidden="1"/>
    </xf>
    <xf numFmtId="0" fontId="28" fillId="3" borderId="0" xfId="0" applyFont="1" applyFill="1" applyAlignment="1">
      <alignment horizontal="left" vertical="center"/>
    </xf>
    <xf numFmtId="0" fontId="28" fillId="3" borderId="0" xfId="0" applyFont="1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center" vertical="center"/>
      <protection hidden="1"/>
    </xf>
    <xf numFmtId="0" fontId="35" fillId="3" borderId="0" xfId="0" applyFont="1" applyFill="1" applyAlignment="1">
      <alignment vertical="center"/>
    </xf>
    <xf numFmtId="0" fontId="27" fillId="3" borderId="0" xfId="0" applyFont="1" applyFill="1" applyAlignment="1">
      <alignment horizontal="left" vertical="center"/>
    </xf>
    <xf numFmtId="0" fontId="28" fillId="3" borderId="0" xfId="0" applyFont="1" applyFill="1" applyAlignment="1">
      <alignment horizontal="right" vertical="center" wrapText="1"/>
    </xf>
    <xf numFmtId="0" fontId="28" fillId="6" borderId="0" xfId="0" applyFont="1" applyFill="1" applyAlignment="1">
      <alignment horizontal="left" vertical="center" wrapText="1"/>
    </xf>
    <xf numFmtId="0" fontId="27" fillId="6" borderId="0" xfId="0" applyFont="1" applyFill="1" applyAlignment="1">
      <alignment horizontal="center" vertical="center" wrapText="1"/>
    </xf>
    <xf numFmtId="2" fontId="43" fillId="6" borderId="0" xfId="0" applyNumberFormat="1" applyFont="1" applyFill="1" applyAlignment="1">
      <alignment horizontal="center" vertical="center"/>
    </xf>
    <xf numFmtId="0" fontId="28" fillId="3" borderId="0" xfId="0" applyFont="1" applyFill="1" applyAlignment="1">
      <alignment horizontal="center" vertical="center" wrapText="1"/>
    </xf>
    <xf numFmtId="2" fontId="41" fillId="3" borderId="0" xfId="0" applyNumberFormat="1" applyFont="1" applyFill="1" applyAlignment="1">
      <alignment horizontal="center" vertical="center"/>
    </xf>
    <xf numFmtId="2" fontId="43" fillId="3" borderId="0" xfId="0" applyNumberFormat="1" applyFont="1" applyFill="1" applyAlignment="1">
      <alignment horizontal="center" vertical="center"/>
    </xf>
    <xf numFmtId="9" fontId="28" fillId="3" borderId="0" xfId="0" applyNumberFormat="1" applyFont="1" applyFill="1" applyAlignment="1">
      <alignment horizontal="left" vertical="center"/>
    </xf>
    <xf numFmtId="0" fontId="51" fillId="3" borderId="0" xfId="0" applyFont="1" applyFill="1" applyAlignment="1">
      <alignment vertical="center"/>
    </xf>
    <xf numFmtId="167" fontId="36" fillId="3" borderId="0" xfId="0" applyNumberFormat="1" applyFont="1" applyFill="1" applyAlignment="1">
      <alignment horizontal="center" vertical="center"/>
    </xf>
    <xf numFmtId="166" fontId="36" fillId="3" borderId="0" xfId="0" applyNumberFormat="1" applyFont="1" applyFill="1" applyAlignment="1">
      <alignment horizontal="center" vertical="center"/>
    </xf>
    <xf numFmtId="2" fontId="36" fillId="3" borderId="0" xfId="0" applyNumberFormat="1" applyFont="1" applyFill="1" applyAlignment="1">
      <alignment horizontal="center" vertical="center" wrapText="1"/>
    </xf>
    <xf numFmtId="2" fontId="46" fillId="3" borderId="0" xfId="0" applyNumberFormat="1" applyFont="1" applyFill="1" applyAlignment="1" applyProtection="1">
      <alignment horizontal="center" vertical="center"/>
      <protection locked="0"/>
    </xf>
    <xf numFmtId="2" fontId="47" fillId="3" borderId="0" xfId="0" applyNumberFormat="1" applyFont="1" applyFill="1" applyAlignment="1">
      <alignment horizontal="center" vertical="center" wrapText="1"/>
    </xf>
    <xf numFmtId="164" fontId="32" fillId="3" borderId="0" xfId="0" applyNumberFormat="1" applyFont="1" applyFill="1" applyAlignment="1">
      <alignment horizontal="center" vertical="center" wrapText="1"/>
    </xf>
    <xf numFmtId="164" fontId="36" fillId="3" borderId="0" xfId="0" applyNumberFormat="1" applyFont="1" applyFill="1" applyAlignment="1">
      <alignment horizontal="center" vertical="center"/>
    </xf>
    <xf numFmtId="164" fontId="28" fillId="3" borderId="0" xfId="0" applyNumberFormat="1" applyFont="1" applyFill="1" applyAlignment="1">
      <alignment horizontal="center" vertical="center"/>
    </xf>
    <xf numFmtId="0" fontId="27" fillId="5" borderId="0" xfId="0" applyFont="1" applyFill="1" applyAlignment="1">
      <alignment horizontal="left" vertical="center" wrapText="1"/>
    </xf>
    <xf numFmtId="0" fontId="27" fillId="3" borderId="0" xfId="0" applyFont="1" applyFill="1" applyAlignment="1">
      <alignment horizontal="left" vertical="center" wrapText="1"/>
    </xf>
    <xf numFmtId="2" fontId="49" fillId="3" borderId="0" xfId="0" applyNumberFormat="1" applyFont="1" applyFill="1" applyAlignment="1">
      <alignment horizontal="center" vertical="center"/>
    </xf>
    <xf numFmtId="0" fontId="35" fillId="3" borderId="0" xfId="0" applyFont="1" applyFill="1" applyAlignment="1">
      <alignment horizontal="center" vertical="center" wrapText="1"/>
    </xf>
    <xf numFmtId="0" fontId="37" fillId="5" borderId="0" xfId="0" applyFont="1" applyFill="1" applyAlignment="1">
      <alignment vertical="center"/>
    </xf>
    <xf numFmtId="2" fontId="49" fillId="5" borderId="0" xfId="0" applyNumberFormat="1" applyFont="1" applyFill="1" applyAlignment="1">
      <alignment horizontal="center" vertical="center"/>
    </xf>
    <xf numFmtId="0" fontId="35" fillId="5" borderId="0" xfId="0" applyFont="1" applyFill="1" applyAlignment="1">
      <alignment horizontal="center" vertical="center" wrapText="1"/>
    </xf>
    <xf numFmtId="0" fontId="35" fillId="5" borderId="0" xfId="0" applyFont="1" applyFill="1" applyAlignment="1">
      <alignment horizontal="left" vertical="center"/>
    </xf>
    <xf numFmtId="0" fontId="27" fillId="5" borderId="0" xfId="0" applyFont="1" applyFill="1" applyAlignment="1">
      <alignment horizontal="center" vertical="center" wrapText="1"/>
    </xf>
    <xf numFmtId="2" fontId="33" fillId="5" borderId="0" xfId="0" applyNumberFormat="1" applyFont="1" applyFill="1" applyAlignment="1">
      <alignment horizontal="center" vertical="center"/>
    </xf>
    <xf numFmtId="164" fontId="28" fillId="3" borderId="0" xfId="0" applyNumberFormat="1" applyFont="1" applyFill="1" applyAlignment="1">
      <alignment horizontal="left" vertical="center"/>
    </xf>
    <xf numFmtId="0" fontId="33" fillId="5" borderId="0" xfId="0" applyFont="1" applyFill="1" applyAlignment="1">
      <alignment horizontal="center" vertical="center"/>
    </xf>
    <xf numFmtId="0" fontId="28" fillId="3" borderId="32" xfId="0" applyFont="1" applyFill="1" applyBorder="1" applyAlignment="1">
      <alignment vertical="center" wrapText="1"/>
    </xf>
    <xf numFmtId="0" fontId="27" fillId="3" borderId="33" xfId="0" applyFont="1" applyFill="1" applyBorder="1" applyAlignment="1">
      <alignment horizontal="center" vertical="center"/>
    </xf>
    <xf numFmtId="0" fontId="33" fillId="3" borderId="33" xfId="0" applyFont="1" applyFill="1" applyBorder="1" applyAlignment="1">
      <alignment horizontal="center" vertical="center"/>
    </xf>
    <xf numFmtId="0" fontId="28" fillId="3" borderId="32" xfId="0" applyFont="1" applyFill="1" applyBorder="1" applyAlignment="1">
      <alignment horizontal="left" vertical="center" wrapText="1"/>
    </xf>
    <xf numFmtId="0" fontId="28" fillId="3" borderId="33" xfId="0" applyFont="1" applyFill="1" applyBorder="1" applyAlignment="1">
      <alignment vertical="center"/>
    </xf>
    <xf numFmtId="0" fontId="28" fillId="3" borderId="32" xfId="0" applyFont="1" applyFill="1" applyBorder="1" applyAlignment="1">
      <alignment horizontal="left" vertical="center"/>
    </xf>
    <xf numFmtId="0" fontId="27" fillId="3" borderId="32" xfId="0" applyFont="1" applyFill="1" applyBorder="1" applyAlignment="1">
      <alignment horizontal="left" vertical="center"/>
    </xf>
    <xf numFmtId="0" fontId="29" fillId="5" borderId="32" xfId="0" applyFont="1" applyFill="1" applyBorder="1" applyAlignment="1">
      <alignment horizontal="left" vertical="center" wrapText="1"/>
    </xf>
    <xf numFmtId="0" fontId="27" fillId="3" borderId="32" xfId="0" applyFont="1" applyFill="1" applyBorder="1" applyAlignment="1">
      <alignment horizontal="center" vertical="center" wrapText="1"/>
    </xf>
    <xf numFmtId="0" fontId="28" fillId="3" borderId="32" xfId="0" applyFont="1" applyFill="1" applyBorder="1" applyAlignment="1">
      <alignment vertical="center"/>
    </xf>
    <xf numFmtId="0" fontId="27" fillId="3" borderId="33" xfId="0" applyFont="1" applyFill="1" applyBorder="1" applyAlignment="1">
      <alignment horizontal="center" vertical="center" wrapText="1"/>
    </xf>
    <xf numFmtId="0" fontId="29" fillId="6" borderId="32" xfId="0" applyFont="1" applyFill="1" applyBorder="1" applyAlignment="1">
      <alignment horizontal="left" vertical="center" wrapText="1"/>
    </xf>
    <xf numFmtId="0" fontId="28" fillId="6" borderId="33" xfId="0" applyFont="1" applyFill="1" applyBorder="1" applyAlignment="1">
      <alignment horizontal="left" vertical="center" wrapText="1"/>
    </xf>
    <xf numFmtId="9" fontId="28" fillId="3" borderId="32" xfId="0" applyNumberFormat="1" applyFont="1" applyFill="1" applyBorder="1" applyAlignment="1">
      <alignment horizontal="left" vertical="center"/>
    </xf>
    <xf numFmtId="0" fontId="28" fillId="3" borderId="32" xfId="0" applyFont="1" applyFill="1" applyBorder="1" applyAlignment="1">
      <alignment horizontal="right" vertical="center"/>
    </xf>
    <xf numFmtId="2" fontId="36" fillId="3" borderId="33" xfId="0" applyNumberFormat="1" applyFont="1" applyFill="1" applyBorder="1" applyAlignment="1">
      <alignment horizontal="center" vertical="center"/>
    </xf>
    <xf numFmtId="0" fontId="27" fillId="3" borderId="32" xfId="0" applyFont="1" applyFill="1" applyBorder="1" applyAlignment="1">
      <alignment horizontal="left" vertical="center" wrapText="1"/>
    </xf>
    <xf numFmtId="2" fontId="47" fillId="3" borderId="33" xfId="0" applyNumberFormat="1" applyFont="1" applyFill="1" applyBorder="1" applyAlignment="1">
      <alignment horizontal="center" vertical="center"/>
    </xf>
    <xf numFmtId="0" fontId="47" fillId="3" borderId="33" xfId="0" applyFont="1" applyFill="1" applyBorder="1" applyAlignment="1">
      <alignment horizontal="center" vertical="center"/>
    </xf>
    <xf numFmtId="0" fontId="27" fillId="5" borderId="33" xfId="0" applyFont="1" applyFill="1" applyBorder="1" applyAlignment="1">
      <alignment horizontal="center" vertical="center" wrapText="1"/>
    </xf>
    <xf numFmtId="0" fontId="27" fillId="3" borderId="33" xfId="0" applyFont="1" applyFill="1" applyBorder="1" applyAlignment="1">
      <alignment horizontal="left" vertical="center" wrapText="1"/>
    </xf>
    <xf numFmtId="0" fontId="43" fillId="3" borderId="46" xfId="0" applyFont="1" applyFill="1" applyBorder="1" applyAlignment="1">
      <alignment horizontal="center" vertical="center" wrapText="1"/>
    </xf>
    <xf numFmtId="0" fontId="43" fillId="4" borderId="47" xfId="0" applyFont="1" applyFill="1" applyBorder="1" applyAlignment="1">
      <alignment horizontal="center" vertical="center"/>
    </xf>
    <xf numFmtId="0" fontId="50" fillId="5" borderId="48" xfId="0" applyFont="1" applyFill="1" applyBorder="1" applyAlignment="1">
      <alignment horizontal="center" vertical="center"/>
    </xf>
    <xf numFmtId="0" fontId="28" fillId="3" borderId="44" xfId="0" applyFont="1" applyFill="1" applyBorder="1" applyAlignment="1">
      <alignment horizontal="center" vertical="center" wrapText="1"/>
    </xf>
    <xf numFmtId="0" fontId="28" fillId="3" borderId="33" xfId="0" applyFont="1" applyFill="1" applyBorder="1" applyAlignment="1">
      <alignment horizontal="center" vertical="center" wrapText="1"/>
    </xf>
    <xf numFmtId="0" fontId="28" fillId="3" borderId="45" xfId="0" applyFont="1" applyFill="1" applyBorder="1" applyAlignment="1">
      <alignment horizontal="center" vertical="center" wrapText="1"/>
    </xf>
    <xf numFmtId="0" fontId="27" fillId="3" borderId="32" xfId="0" applyFont="1" applyFill="1" applyBorder="1" applyAlignment="1">
      <alignment vertical="center"/>
    </xf>
    <xf numFmtId="0" fontId="27" fillId="3" borderId="34" xfId="0" applyFont="1" applyFill="1" applyBorder="1" applyAlignment="1">
      <alignment horizontal="left" vertical="center" wrapText="1"/>
    </xf>
    <xf numFmtId="0" fontId="28" fillId="3" borderId="35" xfId="0" applyFont="1" applyFill="1" applyBorder="1" applyAlignment="1">
      <alignment horizontal="left" vertical="center" wrapText="1"/>
    </xf>
    <xf numFmtId="0" fontId="28" fillId="3" borderId="35" xfId="0" applyFont="1" applyFill="1" applyBorder="1" applyAlignment="1">
      <alignment horizontal="left" vertical="center"/>
    </xf>
    <xf numFmtId="0" fontId="28" fillId="3" borderId="36" xfId="0" applyFont="1" applyFill="1" applyBorder="1" applyAlignment="1">
      <alignment vertical="center"/>
    </xf>
    <xf numFmtId="0" fontId="58" fillId="10" borderId="0" xfId="0" applyFont="1" applyFill="1" applyAlignment="1">
      <alignment vertical="center"/>
    </xf>
    <xf numFmtId="0" fontId="59" fillId="10" borderId="0" xfId="0" applyFont="1" applyFill="1" applyAlignment="1">
      <alignment vertical="center"/>
    </xf>
    <xf numFmtId="0" fontId="56" fillId="10" borderId="0" xfId="0" applyFont="1" applyFill="1" applyAlignment="1">
      <alignment vertical="center"/>
    </xf>
    <xf numFmtId="0" fontId="57" fillId="10" borderId="0" xfId="0" applyFont="1" applyFill="1" applyAlignment="1">
      <alignment vertical="center"/>
    </xf>
    <xf numFmtId="0" fontId="58" fillId="10" borderId="0" xfId="0" applyFont="1" applyFill="1" applyAlignment="1">
      <alignment vertical="top"/>
    </xf>
    <xf numFmtId="0" fontId="61" fillId="10" borderId="0" xfId="1" applyFont="1" applyFill="1" applyBorder="1" applyAlignment="1">
      <alignment vertical="center"/>
    </xf>
    <xf numFmtId="0" fontId="62" fillId="10" borderId="0" xfId="0" applyFont="1" applyFill="1" applyAlignment="1">
      <alignment horizontal="left" vertical="center"/>
    </xf>
    <xf numFmtId="0" fontId="62" fillId="10" borderId="0" xfId="0" applyFont="1" applyFill="1" applyAlignment="1">
      <alignment vertical="center"/>
    </xf>
    <xf numFmtId="0" fontId="57" fillId="10" borderId="0" xfId="0" applyFont="1" applyFill="1" applyAlignment="1">
      <alignment horizontal="left" vertical="center"/>
    </xf>
    <xf numFmtId="0" fontId="56" fillId="10" borderId="0" xfId="0" applyFont="1" applyFill="1"/>
    <xf numFmtId="0" fontId="57" fillId="10" borderId="0" xfId="0" applyFont="1" applyFill="1"/>
    <xf numFmtId="0" fontId="56" fillId="10" borderId="0" xfId="0" applyFont="1" applyFill="1" applyAlignment="1">
      <alignment vertical="top"/>
    </xf>
    <xf numFmtId="0" fontId="56" fillId="10" borderId="22" xfId="0" applyFont="1" applyFill="1" applyBorder="1" applyAlignment="1">
      <alignment vertical="center"/>
    </xf>
    <xf numFmtId="0" fontId="56" fillId="10" borderId="23" xfId="0" applyFont="1" applyFill="1" applyBorder="1" applyAlignment="1">
      <alignment vertical="center"/>
    </xf>
    <xf numFmtId="0" fontId="57" fillId="10" borderId="23" xfId="0" applyFont="1" applyFill="1" applyBorder="1" applyAlignment="1">
      <alignment vertical="center"/>
    </xf>
    <xf numFmtId="0" fontId="0" fillId="10" borderId="23" xfId="0" applyFill="1" applyBorder="1" applyAlignment="1">
      <alignment vertical="center"/>
    </xf>
    <xf numFmtId="0" fontId="56" fillId="10" borderId="2" xfId="0" applyFont="1" applyFill="1" applyBorder="1" applyAlignment="1">
      <alignment vertical="center"/>
    </xf>
    <xf numFmtId="0" fontId="60" fillId="10" borderId="2" xfId="0" applyFont="1" applyFill="1" applyBorder="1" applyAlignment="1">
      <alignment horizontal="center" vertical="center"/>
    </xf>
    <xf numFmtId="0" fontId="58" fillId="10" borderId="2" xfId="0" applyFont="1" applyFill="1" applyBorder="1" applyAlignment="1">
      <alignment vertical="center"/>
    </xf>
    <xf numFmtId="0" fontId="56" fillId="10" borderId="6" xfId="0" applyFont="1" applyFill="1" applyBorder="1" applyAlignment="1">
      <alignment vertical="center"/>
    </xf>
    <xf numFmtId="0" fontId="56" fillId="10" borderId="7" xfId="0" applyFont="1" applyFill="1" applyBorder="1" applyAlignment="1">
      <alignment vertical="center"/>
    </xf>
    <xf numFmtId="0" fontId="57" fillId="10" borderId="7" xfId="0" applyFont="1" applyFill="1" applyBorder="1" applyAlignment="1">
      <alignment vertical="center"/>
    </xf>
    <xf numFmtId="0" fontId="0" fillId="10" borderId="7" xfId="0" applyFill="1" applyBorder="1" applyAlignment="1">
      <alignment vertical="center"/>
    </xf>
    <xf numFmtId="0" fontId="0" fillId="10" borderId="24" xfId="0" applyFill="1" applyBorder="1" applyAlignment="1">
      <alignment vertical="center"/>
    </xf>
    <xf numFmtId="0" fontId="0" fillId="10" borderId="3" xfId="0" applyFill="1" applyBorder="1" applyAlignment="1">
      <alignment vertical="center"/>
    </xf>
    <xf numFmtId="0" fontId="0" fillId="10" borderId="8" xfId="0" applyFill="1" applyBorder="1" applyAlignment="1">
      <alignment vertical="center"/>
    </xf>
    <xf numFmtId="0" fontId="28" fillId="7" borderId="32" xfId="0" applyFont="1" applyFill="1" applyBorder="1" applyAlignment="1">
      <alignment horizontal="center" vertical="center" wrapText="1"/>
    </xf>
    <xf numFmtId="0" fontId="29" fillId="7" borderId="32" xfId="0" applyFont="1" applyFill="1" applyBorder="1" applyAlignment="1">
      <alignment horizontal="left" vertical="center" wrapText="1"/>
    </xf>
    <xf numFmtId="0" fontId="27" fillId="7" borderId="32" xfId="0" applyFont="1" applyFill="1" applyBorder="1" applyAlignment="1">
      <alignment horizontal="center" vertical="center"/>
    </xf>
    <xf numFmtId="0" fontId="33" fillId="7" borderId="32" xfId="0" applyFont="1" applyFill="1" applyBorder="1" applyAlignment="1">
      <alignment horizontal="center" vertical="center"/>
    </xf>
    <xf numFmtId="0" fontId="28" fillId="7" borderId="32" xfId="0" applyFont="1" applyFill="1" applyBorder="1" applyAlignment="1">
      <alignment vertical="center"/>
    </xf>
    <xf numFmtId="0" fontId="27" fillId="7" borderId="32" xfId="0" applyFont="1" applyFill="1" applyBorder="1" applyAlignment="1">
      <alignment horizontal="center" vertical="center" wrapText="1"/>
    </xf>
    <xf numFmtId="0" fontId="38" fillId="7" borderId="32" xfId="0" applyFont="1" applyFill="1" applyBorder="1" applyAlignment="1">
      <alignment horizontal="left" vertical="center" wrapText="1"/>
    </xf>
    <xf numFmtId="0" fontId="38" fillId="7" borderId="32" xfId="0" applyFont="1" applyFill="1" applyBorder="1" applyAlignment="1">
      <alignment horizontal="left" vertical="center"/>
    </xf>
    <xf numFmtId="0" fontId="28" fillId="7" borderId="32" xfId="0" applyFont="1" applyFill="1" applyBorder="1" applyAlignment="1">
      <alignment horizontal="left" vertical="center" wrapText="1"/>
    </xf>
    <xf numFmtId="2" fontId="33" fillId="7" borderId="32" xfId="0" applyNumberFormat="1" applyFont="1" applyFill="1" applyBorder="1" applyAlignment="1">
      <alignment horizontal="center" vertical="center"/>
    </xf>
    <xf numFmtId="2" fontId="35" fillId="7" borderId="32" xfId="0" applyNumberFormat="1" applyFont="1" applyFill="1" applyBorder="1" applyAlignment="1">
      <alignment horizontal="center" vertical="center"/>
    </xf>
    <xf numFmtId="0" fontId="35" fillId="7" borderId="32" xfId="0" applyFont="1" applyFill="1" applyBorder="1" applyAlignment="1">
      <alignment horizontal="center" vertical="center"/>
    </xf>
    <xf numFmtId="0" fontId="27" fillId="7" borderId="32" xfId="0" applyFont="1" applyFill="1" applyBorder="1" applyAlignment="1">
      <alignment horizontal="left" vertical="center" wrapText="1"/>
    </xf>
    <xf numFmtId="0" fontId="43" fillId="7" borderId="32" xfId="0" applyFont="1" applyFill="1" applyBorder="1" applyAlignment="1">
      <alignment horizontal="center" vertical="center" wrapText="1"/>
    </xf>
    <xf numFmtId="0" fontId="43" fillId="7" borderId="32" xfId="0" applyFont="1" applyFill="1" applyBorder="1" applyAlignment="1">
      <alignment horizontal="center" vertical="center"/>
    </xf>
    <xf numFmtId="0" fontId="50" fillId="7" borderId="32" xfId="0" applyFont="1" applyFill="1" applyBorder="1" applyAlignment="1">
      <alignment horizontal="center" vertical="center"/>
    </xf>
    <xf numFmtId="2" fontId="35" fillId="2" borderId="0" xfId="0" applyNumberFormat="1" applyFont="1" applyFill="1" applyAlignment="1">
      <alignment horizontal="center" vertical="center" wrapText="1"/>
    </xf>
    <xf numFmtId="2" fontId="65" fillId="9" borderId="35" xfId="0" applyNumberFormat="1" applyFont="1" applyFill="1" applyBorder="1" applyAlignment="1">
      <alignment horizontal="center" vertical="center" wrapText="1"/>
    </xf>
    <xf numFmtId="0" fontId="66" fillId="9" borderId="35" xfId="0" applyFont="1" applyFill="1" applyBorder="1" applyAlignment="1">
      <alignment horizontal="left" vertical="center" wrapText="1"/>
    </xf>
    <xf numFmtId="0" fontId="26" fillId="7" borderId="32" xfId="0" applyFont="1" applyFill="1" applyBorder="1" applyAlignment="1">
      <alignment horizontal="center" vertical="center"/>
    </xf>
    <xf numFmtId="0" fontId="0" fillId="7" borderId="0" xfId="0" applyFill="1" applyAlignment="1">
      <alignment horizontal="left" vertical="center" wrapText="1"/>
    </xf>
    <xf numFmtId="0" fontId="0" fillId="7" borderId="0" xfId="0" applyFill="1" applyAlignment="1">
      <alignment horizontal="center" vertical="center"/>
    </xf>
    <xf numFmtId="0" fontId="0" fillId="7" borderId="0" xfId="0" applyFill="1" applyAlignment="1">
      <alignment horizontal="center" vertical="center" wrapText="1"/>
    </xf>
    <xf numFmtId="0" fontId="27" fillId="7" borderId="0" xfId="0" applyFont="1" applyFill="1" applyAlignment="1">
      <alignment horizontal="center" vertical="center" wrapText="1"/>
    </xf>
    <xf numFmtId="0" fontId="27" fillId="3" borderId="32" xfId="0" applyFont="1" applyFill="1" applyBorder="1" applyAlignment="1">
      <alignment horizontal="left" vertical="center" wrapText="1"/>
    </xf>
    <xf numFmtId="0" fontId="27" fillId="3" borderId="0" xfId="0" applyFont="1" applyFill="1" applyAlignment="1">
      <alignment horizontal="left" vertical="center" wrapText="1"/>
    </xf>
    <xf numFmtId="0" fontId="55" fillId="9" borderId="42" xfId="0" applyFont="1" applyFill="1" applyBorder="1" applyAlignment="1">
      <alignment horizontal="left" vertical="center" wrapText="1"/>
    </xf>
    <xf numFmtId="0" fontId="55" fillId="9" borderId="23" xfId="0" applyFont="1" applyFill="1" applyBorder="1" applyAlignment="1">
      <alignment horizontal="left" vertical="center" wrapText="1"/>
    </xf>
    <xf numFmtId="0" fontId="55" fillId="9" borderId="44" xfId="0" applyFont="1" applyFill="1" applyBorder="1" applyAlignment="1">
      <alignment horizontal="left" vertical="center" wrapText="1"/>
    </xf>
    <xf numFmtId="0" fontId="29" fillId="7" borderId="0" xfId="0" applyFont="1" applyFill="1" applyAlignment="1">
      <alignment horizontal="left" vertical="center" wrapText="1"/>
    </xf>
    <xf numFmtId="0" fontId="29" fillId="5" borderId="32" xfId="0" applyFont="1" applyFill="1" applyBorder="1" applyAlignment="1">
      <alignment horizontal="left" vertical="center" wrapText="1"/>
    </xf>
    <xf numFmtId="0" fontId="29" fillId="5" borderId="0" xfId="0" applyFont="1" applyFill="1" applyAlignment="1">
      <alignment horizontal="left" vertical="center" wrapText="1"/>
    </xf>
    <xf numFmtId="0" fontId="28" fillId="3" borderId="1" xfId="0" applyFont="1" applyFill="1" applyBorder="1" applyAlignment="1">
      <alignment horizontal="center" vertical="center"/>
    </xf>
    <xf numFmtId="0" fontId="32" fillId="3" borderId="33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0" fontId="32" fillId="3" borderId="0" xfId="0" applyFont="1" applyFill="1" applyAlignment="1">
      <alignment horizontal="center" vertical="center" wrapText="1"/>
    </xf>
    <xf numFmtId="0" fontId="56" fillId="10" borderId="2" xfId="0" applyFont="1" applyFill="1" applyBorder="1" applyAlignment="1">
      <alignment horizontal="left" vertical="center"/>
    </xf>
    <xf numFmtId="0" fontId="56" fillId="10" borderId="0" xfId="0" applyFont="1" applyFill="1" applyAlignment="1">
      <alignment horizontal="left" vertical="center"/>
    </xf>
    <xf numFmtId="0" fontId="27" fillId="5" borderId="0" xfId="0" applyFont="1" applyFill="1" applyAlignment="1">
      <alignment horizontal="left" vertical="center" wrapText="1"/>
    </xf>
    <xf numFmtId="0" fontId="27" fillId="5" borderId="33" xfId="0" applyFont="1" applyFill="1" applyBorder="1" applyAlignment="1">
      <alignment horizontal="left" vertical="center" wrapText="1"/>
    </xf>
    <xf numFmtId="0" fontId="26" fillId="0" borderId="37" xfId="0" applyFont="1" applyBorder="1" applyAlignment="1">
      <alignment horizontal="center" vertical="center"/>
    </xf>
    <xf numFmtId="0" fontId="26" fillId="0" borderId="38" xfId="0" applyFont="1" applyBorder="1" applyAlignment="1">
      <alignment horizontal="center" vertical="center"/>
    </xf>
    <xf numFmtId="0" fontId="26" fillId="0" borderId="39" xfId="0" applyFont="1" applyBorder="1" applyAlignment="1">
      <alignment horizontal="center" vertical="center"/>
    </xf>
    <xf numFmtId="0" fontId="28" fillId="0" borderId="40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left" vertical="center" wrapText="1"/>
    </xf>
    <xf numFmtId="0" fontId="28" fillId="0" borderId="41" xfId="0" applyFont="1" applyBorder="1" applyAlignment="1">
      <alignment horizontal="left" vertical="center" wrapText="1"/>
    </xf>
    <xf numFmtId="0" fontId="55" fillId="9" borderId="32" xfId="0" applyFont="1" applyFill="1" applyBorder="1" applyAlignment="1">
      <alignment horizontal="left" vertical="center" wrapText="1"/>
    </xf>
    <xf numFmtId="0" fontId="55" fillId="9" borderId="0" xfId="0" applyFont="1" applyFill="1" applyAlignment="1">
      <alignment horizontal="left" vertical="center" wrapText="1"/>
    </xf>
    <xf numFmtId="0" fontId="55" fillId="9" borderId="33" xfId="0" applyFont="1" applyFill="1" applyBorder="1" applyAlignment="1">
      <alignment horizontal="left" vertical="center" wrapText="1"/>
    </xf>
    <xf numFmtId="0" fontId="30" fillId="10" borderId="2" xfId="0" applyFont="1" applyFill="1" applyBorder="1" applyAlignment="1" applyProtection="1">
      <alignment horizontal="center" vertical="center"/>
      <protection locked="0"/>
    </xf>
    <xf numFmtId="0" fontId="30" fillId="10" borderId="0" xfId="0" applyFont="1" applyFill="1" applyAlignment="1" applyProtection="1">
      <alignment horizontal="center" vertical="center"/>
      <protection locked="0"/>
    </xf>
    <xf numFmtId="0" fontId="29" fillId="5" borderId="33" xfId="0" applyFont="1" applyFill="1" applyBorder="1" applyAlignment="1">
      <alignment horizontal="left" vertical="center" wrapText="1"/>
    </xf>
    <xf numFmtId="0" fontId="28" fillId="3" borderId="32" xfId="0" applyFont="1" applyFill="1" applyBorder="1" applyAlignment="1">
      <alignment horizontal="left" vertical="center" wrapText="1"/>
    </xf>
    <xf numFmtId="0" fontId="28" fillId="3" borderId="0" xfId="0" applyFont="1" applyFill="1" applyAlignment="1">
      <alignment horizontal="left" vertical="center" wrapText="1"/>
    </xf>
    <xf numFmtId="0" fontId="34" fillId="3" borderId="0" xfId="0" applyFont="1" applyFill="1" applyAlignment="1">
      <alignment horizontal="left" vertical="center"/>
    </xf>
    <xf numFmtId="0" fontId="47" fillId="3" borderId="32" xfId="0" applyFont="1" applyFill="1" applyBorder="1" applyAlignment="1">
      <alignment horizontal="left" vertical="center"/>
    </xf>
    <xf numFmtId="0" fontId="47" fillId="3" borderId="0" xfId="0" applyFont="1" applyFill="1" applyAlignment="1">
      <alignment horizontal="left" vertical="center"/>
    </xf>
    <xf numFmtId="0" fontId="45" fillId="3" borderId="19" xfId="0" applyFont="1" applyFill="1" applyBorder="1" applyAlignment="1">
      <alignment horizontal="center" vertical="center" wrapText="1"/>
    </xf>
    <xf numFmtId="0" fontId="45" fillId="3" borderId="21" xfId="0" applyFont="1" applyFill="1" applyBorder="1" applyAlignment="1">
      <alignment horizontal="center" vertical="center" wrapText="1"/>
    </xf>
    <xf numFmtId="0" fontId="33" fillId="3" borderId="42" xfId="0" applyFont="1" applyFill="1" applyBorder="1" applyAlignment="1">
      <alignment horizontal="left" vertical="center"/>
    </xf>
    <xf numFmtId="0" fontId="33" fillId="3" borderId="23" xfId="0" applyFont="1" applyFill="1" applyBorder="1" applyAlignment="1">
      <alignment horizontal="left" vertical="center"/>
    </xf>
    <xf numFmtId="0" fontId="33" fillId="3" borderId="24" xfId="0" applyFont="1" applyFill="1" applyBorder="1" applyAlignment="1">
      <alignment horizontal="left" vertical="center"/>
    </xf>
    <xf numFmtId="0" fontId="33" fillId="3" borderId="43" xfId="0" applyFont="1" applyFill="1" applyBorder="1" applyAlignment="1">
      <alignment horizontal="left" vertical="center"/>
    </xf>
    <xf numFmtId="0" fontId="33" fillId="3" borderId="7" xfId="0" applyFont="1" applyFill="1" applyBorder="1" applyAlignment="1">
      <alignment horizontal="left" vertical="center"/>
    </xf>
    <xf numFmtId="0" fontId="33" fillId="3" borderId="8" xfId="0" applyFont="1" applyFill="1" applyBorder="1" applyAlignment="1">
      <alignment horizontal="left" vertical="center"/>
    </xf>
    <xf numFmtId="0" fontId="38" fillId="3" borderId="22" xfId="0" applyFont="1" applyFill="1" applyBorder="1" applyAlignment="1">
      <alignment horizontal="left" vertical="center" wrapText="1"/>
    </xf>
    <xf numFmtId="0" fontId="38" fillId="3" borderId="23" xfId="0" applyFont="1" applyFill="1" applyBorder="1" applyAlignment="1">
      <alignment horizontal="left" vertical="center" wrapText="1"/>
    </xf>
    <xf numFmtId="0" fontId="38" fillId="3" borderId="44" xfId="0" applyFont="1" applyFill="1" applyBorder="1" applyAlignment="1">
      <alignment horizontal="left" vertical="center" wrapText="1"/>
    </xf>
    <xf numFmtId="0" fontId="38" fillId="3" borderId="6" xfId="0" applyFont="1" applyFill="1" applyBorder="1" applyAlignment="1">
      <alignment horizontal="left" vertical="center" wrapText="1"/>
    </xf>
    <xf numFmtId="0" fontId="38" fillId="3" borderId="7" xfId="0" applyFont="1" applyFill="1" applyBorder="1" applyAlignment="1">
      <alignment horizontal="left" vertical="center" wrapText="1"/>
    </xf>
    <xf numFmtId="0" fontId="38" fillId="3" borderId="45" xfId="0" applyFont="1" applyFill="1" applyBorder="1" applyAlignment="1">
      <alignment horizontal="left" vertical="center" wrapText="1"/>
    </xf>
    <xf numFmtId="0" fontId="38" fillId="3" borderId="23" xfId="0" applyFont="1" applyFill="1" applyBorder="1" applyAlignment="1">
      <alignment horizontal="left" vertical="center"/>
    </xf>
    <xf numFmtId="0" fontId="38" fillId="3" borderId="44" xfId="0" applyFont="1" applyFill="1" applyBorder="1" applyAlignment="1">
      <alignment horizontal="left" vertical="center"/>
    </xf>
    <xf numFmtId="0" fontId="38" fillId="3" borderId="6" xfId="0" applyFont="1" applyFill="1" applyBorder="1" applyAlignment="1">
      <alignment horizontal="left" vertical="center"/>
    </xf>
    <xf numFmtId="0" fontId="38" fillId="3" borderId="7" xfId="0" applyFont="1" applyFill="1" applyBorder="1" applyAlignment="1">
      <alignment horizontal="left" vertical="center"/>
    </xf>
    <xf numFmtId="0" fontId="38" fillId="3" borderId="45" xfId="0" applyFont="1" applyFill="1" applyBorder="1" applyAlignment="1">
      <alignment horizontal="left" vertical="center"/>
    </xf>
    <xf numFmtId="1" fontId="10" fillId="0" borderId="0" xfId="0" applyNumberFormat="1" applyFont="1" applyAlignment="1" applyProtection="1">
      <alignment horizontal="left" vertical="top" shrinkToFi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22" fillId="7" borderId="0" xfId="0" applyFont="1" applyFill="1" applyAlignment="1" applyProtection="1">
      <alignment horizontal="left" vertical="center"/>
      <protection hidden="1"/>
    </xf>
    <xf numFmtId="0" fontId="22" fillId="7" borderId="0" xfId="0" applyFont="1" applyFill="1" applyAlignment="1" applyProtection="1">
      <alignment horizontal="left"/>
      <protection hidden="1"/>
    </xf>
    <xf numFmtId="0" fontId="15" fillId="7" borderId="0" xfId="0" applyFont="1" applyFill="1" applyAlignment="1" applyProtection="1">
      <alignment horizontal="left" vertical="center"/>
      <protection hidden="1"/>
    </xf>
    <xf numFmtId="0" fontId="17" fillId="7" borderId="0" xfId="0" applyFont="1" applyFill="1" applyAlignment="1" applyProtection="1">
      <alignment horizontal="left" vertical="top" wrapText="1"/>
      <protection hidden="1"/>
    </xf>
    <xf numFmtId="0" fontId="15" fillId="7" borderId="0" xfId="0" applyFont="1" applyFill="1" applyAlignment="1" applyProtection="1">
      <alignment horizontal="left" vertical="center" wrapText="1"/>
      <protection hidden="1"/>
    </xf>
    <xf numFmtId="0" fontId="15" fillId="7" borderId="0" xfId="0" applyFont="1" applyFill="1" applyAlignment="1" applyProtection="1">
      <alignment horizontal="left"/>
      <protection hidden="1"/>
    </xf>
    <xf numFmtId="0" fontId="24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10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6F7B"/>
      <color rgb="FF00B1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10" Type="http://schemas.openxmlformats.org/officeDocument/2006/relationships/image" Target="../media/image12.png"/><Relationship Id="rId4" Type="http://schemas.openxmlformats.org/officeDocument/2006/relationships/image" Target="../media/image6.png"/><Relationship Id="rId9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100853</xdr:colOff>
      <xdr:row>43</xdr:row>
      <xdr:rowOff>78441</xdr:rowOff>
    </xdr:from>
    <xdr:to>
      <xdr:col>0</xdr:col>
      <xdr:colOff>1303057</xdr:colOff>
      <xdr:row>48</xdr:row>
      <xdr:rowOff>3180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0E829B-5A2D-4DBE-8137-6CA5E6E09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853" y="8550088"/>
          <a:ext cx="1199029" cy="10964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71718</xdr:colOff>
      <xdr:row>1</xdr:row>
      <xdr:rowOff>39219</xdr:rowOff>
    </xdr:from>
    <xdr:to>
      <xdr:col>8</xdr:col>
      <xdr:colOff>39781</xdr:colOff>
      <xdr:row>6</xdr:row>
      <xdr:rowOff>117860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CCC8702-4DC7-4E3E-8BA7-56222D629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93894" y="229719"/>
          <a:ext cx="4764181" cy="1031141"/>
        </a:xfrm>
        <a:prstGeom prst="rect">
          <a:avLst/>
        </a:prstGeom>
      </xdr:spPr>
    </xdr:pic>
    <xdr:clientData/>
  </xdr:twoCellAnchor>
  <xdr:twoCellAnchor editAs="oneCell">
    <xdr:from>
      <xdr:col>2</xdr:col>
      <xdr:colOff>102535</xdr:colOff>
      <xdr:row>7</xdr:row>
      <xdr:rowOff>94689</xdr:rowOff>
    </xdr:from>
    <xdr:to>
      <xdr:col>9</xdr:col>
      <xdr:colOff>325666</xdr:colOff>
      <xdr:row>14</xdr:row>
      <xdr:rowOff>138392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0F8B37D-250F-409C-AADF-0A7ED303A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21910" y="1504389"/>
          <a:ext cx="5642856" cy="137720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140</xdr:row>
      <xdr:rowOff>97876</xdr:rowOff>
    </xdr:from>
    <xdr:to>
      <xdr:col>9</xdr:col>
      <xdr:colOff>1310088</xdr:colOff>
      <xdr:row>167</xdr:row>
      <xdr:rowOff>27213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00EB639-DCDD-6833-C303-D069FD651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28169412"/>
          <a:ext cx="9351909" cy="507283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</xdr:row>
      <xdr:rowOff>100853</xdr:rowOff>
    </xdr:from>
    <xdr:to>
      <xdr:col>8</xdr:col>
      <xdr:colOff>314325</xdr:colOff>
      <xdr:row>69</xdr:row>
      <xdr:rowOff>137623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5FB2A22F-EBF9-FAD0-8061-D4C543483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8978153"/>
          <a:ext cx="7743825" cy="4608770"/>
        </a:xfrm>
        <a:prstGeom prst="rect">
          <a:avLst/>
        </a:prstGeom>
      </xdr:spPr>
    </xdr:pic>
    <xdr:clientData/>
  </xdr:twoCellAnchor>
  <xdr:oneCellAnchor>
    <xdr:from>
      <xdr:col>3</xdr:col>
      <xdr:colOff>392205</xdr:colOff>
      <xdr:row>98</xdr:row>
      <xdr:rowOff>145676</xdr:rowOff>
    </xdr:from>
    <xdr:ext cx="1134772" cy="11199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5E1570E-543E-4A4B-9A28-2B6AD2BB9DCE}"/>
                </a:ext>
              </a:extLst>
            </xdr:cNvPr>
            <xdr:cNvSpPr txBox="1"/>
          </xdr:nvSpPr>
          <xdr:spPr>
            <a:xfrm>
              <a:off x="3765176" y="20103352"/>
              <a:ext cx="1134772" cy="11199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AU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𝑄</m:t>
                    </m:r>
                    <m:r>
                      <a:rPr lang="en-AU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e>
                      <m:sub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b>
                    </m:sSub>
                    <m:sSub>
                      <m:sSubPr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𝑔</m:t>
                        </m:r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∆</m:t>
                        </m:r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𝑧</m:t>
                        </m:r>
                      </m:e>
                    </m:rad>
                  </m:oMath>
                </m:oMathPara>
              </a14:m>
              <a:endParaRPr lang="en-AU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5E1570E-543E-4A4B-9A28-2B6AD2BB9DCE}"/>
                </a:ext>
              </a:extLst>
            </xdr:cNvPr>
            <xdr:cNvSpPr txBox="1"/>
          </xdr:nvSpPr>
          <xdr:spPr>
            <a:xfrm>
              <a:off x="3765176" y="20103352"/>
              <a:ext cx="1134772" cy="11199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AU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𝑄=𝐴_𝑜 𝐶_𝑑 √2𝑔</a:t>
              </a:r>
              <a:r>
                <a:rPr lang="en-AU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∆𝑧</a:t>
              </a:r>
              <a:endParaRPr lang="en-AU" sz="1100"/>
            </a:p>
          </xdr:txBody>
        </xdr:sp>
      </mc:Fallback>
    </mc:AlternateContent>
    <xdr:clientData/>
  </xdr:oneCellAnchor>
  <xdr:oneCellAnchor>
    <xdr:from>
      <xdr:col>3</xdr:col>
      <xdr:colOff>224117</xdr:colOff>
      <xdr:row>100</xdr:row>
      <xdr:rowOff>156882</xdr:rowOff>
    </xdr:from>
    <xdr:ext cx="1228857" cy="11130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FDCA4C2-7011-4736-9EC5-967D9F47A0EE}"/>
                </a:ext>
              </a:extLst>
            </xdr:cNvPr>
            <xdr:cNvSpPr txBox="1"/>
          </xdr:nvSpPr>
          <xdr:spPr>
            <a:xfrm>
              <a:off x="3597088" y="20495558"/>
              <a:ext cx="1228857" cy="11130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</m:e>
                      <m:sub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b>
                    </m:sSub>
                    <m:r>
                      <a:rPr lang="en-AU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num>
                      <m:den>
                        <m:sSub>
                          <m:sSubPr>
                            <m:ctrlP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sub>
                        </m:sSub>
                        <m:rad>
                          <m:radPr>
                            <m:degHide m:val="on"/>
                            <m:ctrlP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radPr>
                          <m:deg/>
                          <m:e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𝑔</m:t>
                            </m:r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∆</m:t>
                            </m:r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𝑧</m:t>
                            </m:r>
                          </m:e>
                        </m:rad>
                      </m:den>
                    </m:f>
                  </m:oMath>
                </m:oMathPara>
              </a14:m>
              <a:endParaRPr lang="en-AU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FDCA4C2-7011-4736-9EC5-967D9F47A0EE}"/>
                </a:ext>
              </a:extLst>
            </xdr:cNvPr>
            <xdr:cNvSpPr txBox="1"/>
          </xdr:nvSpPr>
          <xdr:spPr>
            <a:xfrm>
              <a:off x="3597088" y="20495558"/>
              <a:ext cx="1228857" cy="11130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AU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𝐴_𝑜=𝑄/(𝐶_𝑑 √2𝑔∆𝑧)</a:t>
              </a:r>
              <a:endParaRPr lang="en-AU" sz="1100"/>
            </a:p>
          </xdr:txBody>
        </xdr:sp>
      </mc:Fallback>
    </mc:AlternateContent>
    <xdr:clientData/>
  </xdr:oneCellAnchor>
  <xdr:oneCellAnchor>
    <xdr:from>
      <xdr:col>3</xdr:col>
      <xdr:colOff>44823</xdr:colOff>
      <xdr:row>103</xdr:row>
      <xdr:rowOff>179294</xdr:rowOff>
    </xdr:from>
    <xdr:ext cx="1700123" cy="112319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72A1C736-8F4E-43C0-95C5-C96DCFF89E3F}"/>
                </a:ext>
              </a:extLst>
            </xdr:cNvPr>
            <xdr:cNvSpPr txBox="1"/>
          </xdr:nvSpPr>
          <xdr:spPr>
            <a:xfrm>
              <a:off x="3417794" y="21089470"/>
              <a:ext cx="1700123" cy="1123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f>
                          <m:fPr>
                            <m:ctrlP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𝜋</m:t>
                            </m:r>
                          </m:num>
                          <m:den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den>
                        </m:f>
                        <m:sSub>
                          <m:sSubPr>
                            <m:ctrlP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e>
                          <m:sub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b>
                        </m:sSub>
                      </m:e>
                      <m:sup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en-AU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num>
                      <m:den>
                        <m:sSub>
                          <m:sSubPr>
                            <m:ctrlP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sub>
                        </m:sSub>
                        <m:rad>
                          <m:radPr>
                            <m:degHide m:val="on"/>
                            <m:ctrlP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radPr>
                          <m:deg/>
                          <m:e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𝑔</m:t>
                            </m:r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∆</m:t>
                            </m:r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𝑧</m:t>
                            </m:r>
                          </m:e>
                        </m:rad>
                      </m:den>
                    </m:f>
                  </m:oMath>
                </m:oMathPara>
              </a14:m>
              <a:endParaRPr lang="en-AU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72A1C736-8F4E-43C0-95C5-C96DCFF89E3F}"/>
                </a:ext>
              </a:extLst>
            </xdr:cNvPr>
            <xdr:cNvSpPr txBox="1"/>
          </xdr:nvSpPr>
          <xdr:spPr>
            <a:xfrm>
              <a:off x="3417794" y="21089470"/>
              <a:ext cx="1700123" cy="112319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AU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〖𝜋/4 𝐷_𝑜〗^2=𝑄/(𝐶_𝑑 √2𝑔∆𝑧)</a:t>
              </a:r>
              <a:endParaRPr lang="en-AU" sz="1100"/>
            </a:p>
          </xdr:txBody>
        </xdr:sp>
      </mc:Fallback>
    </mc:AlternateContent>
    <xdr:clientData/>
  </xdr:oneCellAnchor>
  <xdr:oneCellAnchor>
    <xdr:from>
      <xdr:col>2</xdr:col>
      <xdr:colOff>739588</xdr:colOff>
      <xdr:row>106</xdr:row>
      <xdr:rowOff>145676</xdr:rowOff>
    </xdr:from>
    <xdr:ext cx="1547323" cy="11176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1E8E603D-1B2E-44C4-966D-C1706DE0A0AA}"/>
                </a:ext>
              </a:extLst>
            </xdr:cNvPr>
            <xdr:cNvSpPr txBox="1"/>
          </xdr:nvSpPr>
          <xdr:spPr>
            <a:xfrm>
              <a:off x="3361764" y="21627352"/>
              <a:ext cx="1547323" cy="11176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e>
                      <m:sub>
                        <m: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b>
                    </m:sSub>
                    <m:r>
                      <a:rPr lang="en-AU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AU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num>
                          <m:den>
                            <m:r>
                              <a:rPr lang="en-AU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𝜋</m:t>
                            </m:r>
                            <m:sSub>
                              <m:sSubPr>
                                <m:ctrlP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𝐶</m:t>
                                </m:r>
                              </m:e>
                              <m:sub>
                                <m: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</m:t>
                                </m:r>
                              </m:sub>
                            </m:sSub>
                            <m:rad>
                              <m:radPr>
                                <m:degHide m:val="on"/>
                                <m:ctrlP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radPr>
                              <m:deg/>
                              <m:e>
                                <m: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  <m: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𝑔</m:t>
                                </m:r>
                                <m: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∆</m:t>
                                </m:r>
                                <m:r>
                                  <a:rPr lang="en-AU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𝑧</m:t>
                                </m:r>
                              </m:e>
                            </m:rad>
                          </m:den>
                        </m:f>
                      </m:e>
                    </m:rad>
                  </m:oMath>
                </m:oMathPara>
              </a14:m>
              <a:endParaRPr lang="en-AU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1E8E603D-1B2E-44C4-966D-C1706DE0A0AA}"/>
                </a:ext>
              </a:extLst>
            </xdr:cNvPr>
            <xdr:cNvSpPr txBox="1"/>
          </xdr:nvSpPr>
          <xdr:spPr>
            <a:xfrm>
              <a:off x="3361764" y="21627352"/>
              <a:ext cx="1547323" cy="11176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AU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𝐷_𝑜=√(4𝑄/(𝜋𝐶_𝑑 √2𝑔∆𝑧))</a:t>
              </a:r>
              <a:endParaRPr lang="en-AU" sz="1100"/>
            </a:p>
          </xdr:txBody>
        </xdr:sp>
      </mc:Fallback>
    </mc:AlternateContent>
    <xdr:clientData/>
  </xdr:oneCellAnchor>
  <xdr:twoCellAnchor editAs="oneCell">
    <xdr:from>
      <xdr:col>0</xdr:col>
      <xdr:colOff>0</xdr:colOff>
      <xdr:row>108</xdr:row>
      <xdr:rowOff>3</xdr:rowOff>
    </xdr:from>
    <xdr:to>
      <xdr:col>3</xdr:col>
      <xdr:colOff>315558</xdr:colOff>
      <xdr:row>116</xdr:row>
      <xdr:rowOff>78442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A5DAAB2-3505-E054-87B3-6812A0ADF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1862679"/>
          <a:ext cx="3688529" cy="1602439"/>
        </a:xfrm>
        <a:prstGeom prst="rect">
          <a:avLst/>
        </a:prstGeom>
      </xdr:spPr>
    </xdr:pic>
    <xdr:clientData/>
  </xdr:twoCellAnchor>
  <xdr:twoCellAnchor editAs="oneCell">
    <xdr:from>
      <xdr:col>0</xdr:col>
      <xdr:colOff>35859</xdr:colOff>
      <xdr:row>116</xdr:row>
      <xdr:rowOff>79561</xdr:rowOff>
    </xdr:from>
    <xdr:to>
      <xdr:col>6</xdr:col>
      <xdr:colOff>909356</xdr:colOff>
      <xdr:row>139</xdr:row>
      <xdr:rowOff>3361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BB40EF9-4970-D05D-663A-70822EAE5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5859" y="23644411"/>
          <a:ext cx="6074147" cy="4305300"/>
        </a:xfrm>
        <a:prstGeom prst="rect">
          <a:avLst/>
        </a:prstGeom>
      </xdr:spPr>
    </xdr:pic>
    <xdr:clientData/>
  </xdr:twoCellAnchor>
  <xdr:twoCellAnchor editAs="oneCell">
    <xdr:from>
      <xdr:col>5</xdr:col>
      <xdr:colOff>602878</xdr:colOff>
      <xdr:row>100</xdr:row>
      <xdr:rowOff>0</xdr:rowOff>
    </xdr:from>
    <xdr:to>
      <xdr:col>9</xdr:col>
      <xdr:colOff>1197157</xdr:colOff>
      <xdr:row>115</xdr:row>
      <xdr:rowOff>110565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5DDCF655-AF16-4CCC-A24F-F3CED10D9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186084" y="20338676"/>
          <a:ext cx="4034485" cy="2968065"/>
        </a:xfrm>
        <a:prstGeom prst="rect">
          <a:avLst/>
        </a:prstGeom>
      </xdr:spPr>
    </xdr:pic>
    <xdr:clientData/>
  </xdr:twoCellAnchor>
  <xdr:twoCellAnchor editAs="oneCell">
    <xdr:from>
      <xdr:col>3</xdr:col>
      <xdr:colOff>6164</xdr:colOff>
      <xdr:row>24</xdr:row>
      <xdr:rowOff>17930</xdr:rowOff>
    </xdr:from>
    <xdr:to>
      <xdr:col>9</xdr:col>
      <xdr:colOff>288052</xdr:colOff>
      <xdr:row>42</xdr:row>
      <xdr:rowOff>188258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A58D3FD5-57C7-A36A-D9A4-37D511A36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378014" y="4818530"/>
          <a:ext cx="4949138" cy="35993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</xdr:row>
      <xdr:rowOff>67234</xdr:rowOff>
    </xdr:from>
    <xdr:to>
      <xdr:col>4</xdr:col>
      <xdr:colOff>12113</xdr:colOff>
      <xdr:row>43</xdr:row>
      <xdr:rowOff>112059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A9DB65C0-3C89-2289-4C4A-17C9D748E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6432175"/>
          <a:ext cx="3990201" cy="2140325"/>
        </a:xfrm>
        <a:prstGeom prst="rect">
          <a:avLst/>
        </a:prstGeom>
      </xdr:spPr>
    </xdr:pic>
    <xdr:clientData/>
  </xdr:twoCellAnchor>
  <xdr:twoCellAnchor editAs="oneCell">
    <xdr:from>
      <xdr:col>4</xdr:col>
      <xdr:colOff>499222</xdr:colOff>
      <xdr:row>73</xdr:row>
      <xdr:rowOff>47626</xdr:rowOff>
    </xdr:from>
    <xdr:to>
      <xdr:col>8</xdr:col>
      <xdr:colOff>38074</xdr:colOff>
      <xdr:row>83</xdr:row>
      <xdr:rowOff>168087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83DB6577-725A-D740-86F7-20E4C1560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477310" y="14895420"/>
          <a:ext cx="2979058" cy="2215961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bom.gov.au/water/designRainfalls/revised-ifd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1D067-A710-4553-B734-80C36EFA786E}">
  <sheetPr>
    <pageSetUpPr fitToPage="1"/>
  </sheetPr>
  <dimension ref="A1:BC111"/>
  <sheetViews>
    <sheetView showRowColHeaders="0" tabSelected="1" zoomScale="85" zoomScaleNormal="85" workbookViewId="0">
      <selection activeCell="D4" sqref="D4:F4"/>
    </sheetView>
  </sheetViews>
  <sheetFormatPr defaultColWidth="9.140625" defaultRowHeight="15" x14ac:dyDescent="0.25"/>
  <cols>
    <col min="1" max="1" width="38.42578125" style="135" customWidth="1"/>
    <col min="2" max="2" width="8.5703125" style="135" customWidth="1"/>
    <col min="3" max="3" width="14.28515625" style="135" customWidth="1"/>
    <col min="4" max="4" width="14.140625" style="135" bestFit="1" customWidth="1"/>
    <col min="5" max="5" width="14.140625" style="135" customWidth="1"/>
    <col min="6" max="6" width="14.7109375" style="135" bestFit="1" customWidth="1"/>
    <col min="7" max="7" width="20.140625" style="135" customWidth="1"/>
    <col min="8" max="8" width="15.85546875" style="135" hidden="1" customWidth="1"/>
    <col min="9" max="9" width="16.42578125" style="135" hidden="1" customWidth="1"/>
    <col min="10" max="10" width="19.42578125" style="135" hidden="1" customWidth="1"/>
    <col min="11" max="11" width="10.140625" style="135" customWidth="1"/>
    <col min="12" max="12" width="21.140625" style="135" customWidth="1"/>
    <col min="13" max="13" width="12" style="135" customWidth="1"/>
    <col min="14" max="14" width="12.140625" style="135" customWidth="1"/>
    <col min="15" max="15" width="9.140625" style="135"/>
    <col min="16" max="16" width="15.28515625" style="135" customWidth="1"/>
    <col min="17" max="17" width="14" style="135" customWidth="1"/>
    <col min="18" max="18" width="9.140625" style="135"/>
    <col min="19" max="19" width="15.5703125" style="135" customWidth="1"/>
    <col min="20" max="20" width="17" style="135" customWidth="1"/>
    <col min="21" max="16384" width="9.140625" style="135"/>
  </cols>
  <sheetData>
    <row r="1" spans="1:22" ht="113.25" customHeight="1" thickTop="1" thickBot="1" x14ac:dyDescent="0.3">
      <c r="A1" s="322" t="e" vm="1">
        <v>#VALUE!</v>
      </c>
      <c r="B1" s="323"/>
      <c r="C1" s="323"/>
      <c r="D1" s="323"/>
      <c r="E1" s="323"/>
      <c r="F1" s="323"/>
      <c r="G1" s="323"/>
      <c r="H1" s="323"/>
      <c r="I1" s="323"/>
      <c r="J1" s="324"/>
      <c r="K1" s="300"/>
      <c r="L1" s="165"/>
      <c r="M1" s="165"/>
      <c r="N1" s="165"/>
      <c r="O1" s="165"/>
      <c r="P1" s="165"/>
      <c r="Q1" s="166"/>
    </row>
    <row r="2" spans="1:22" ht="15.75" customHeight="1" thickBot="1" x14ac:dyDescent="0.3">
      <c r="A2" s="325" t="s">
        <v>0</v>
      </c>
      <c r="B2" s="326"/>
      <c r="C2" s="326"/>
      <c r="D2" s="326"/>
      <c r="E2" s="326"/>
      <c r="F2" s="326"/>
      <c r="G2" s="326"/>
      <c r="H2" s="326"/>
      <c r="I2" s="326"/>
      <c r="J2" s="327"/>
      <c r="K2" s="281"/>
      <c r="L2" s="144"/>
      <c r="M2" s="144"/>
      <c r="N2" s="144"/>
      <c r="O2" s="144"/>
      <c r="P2" s="144"/>
      <c r="Q2" s="134"/>
    </row>
    <row r="3" spans="1:22" ht="20.25" x14ac:dyDescent="0.25">
      <c r="A3" s="328" t="s">
        <v>238</v>
      </c>
      <c r="B3" s="329"/>
      <c r="C3" s="329"/>
      <c r="D3" s="329"/>
      <c r="E3" s="329"/>
      <c r="F3" s="329"/>
      <c r="G3" s="329"/>
      <c r="H3" s="329"/>
      <c r="I3" s="329"/>
      <c r="J3" s="330"/>
      <c r="K3" s="282"/>
      <c r="L3" s="267" t="s">
        <v>228</v>
      </c>
      <c r="M3" s="268"/>
      <c r="N3" s="268"/>
      <c r="O3" s="268"/>
      <c r="P3" s="268"/>
      <c r="Q3" s="269"/>
      <c r="R3" s="270"/>
      <c r="S3" s="270"/>
      <c r="T3" s="270"/>
      <c r="U3" s="270"/>
      <c r="V3" s="278"/>
    </row>
    <row r="4" spans="1:22" ht="27.75" customHeight="1" thickBot="1" x14ac:dyDescent="0.3">
      <c r="A4" s="223" t="s">
        <v>1</v>
      </c>
      <c r="B4" s="173"/>
      <c r="C4" s="173"/>
      <c r="D4" s="331" t="s">
        <v>250</v>
      </c>
      <c r="E4" s="332"/>
      <c r="F4" s="332"/>
      <c r="G4" s="173"/>
      <c r="H4" s="174"/>
      <c r="I4" s="173"/>
      <c r="J4" s="224"/>
      <c r="K4" s="283"/>
      <c r="L4" s="318"/>
      <c r="M4" s="319"/>
      <c r="N4" s="319"/>
      <c r="O4" s="257"/>
      <c r="P4" s="257"/>
      <c r="Q4" s="258"/>
      <c r="R4" s="170"/>
      <c r="S4" s="170"/>
      <c r="T4" s="170"/>
      <c r="U4" s="170"/>
      <c r="V4" s="279"/>
    </row>
    <row r="5" spans="1:22" ht="20.25" thickBot="1" x14ac:dyDescent="0.3">
      <c r="A5" s="223"/>
      <c r="B5" s="175"/>
      <c r="C5" s="175"/>
      <c r="D5" s="175"/>
      <c r="E5" s="174"/>
      <c r="F5" s="103" t="s">
        <v>2</v>
      </c>
      <c r="G5" s="175"/>
      <c r="H5" s="176" t="s">
        <v>3</v>
      </c>
      <c r="I5" s="177"/>
      <c r="J5" s="225"/>
      <c r="K5" s="284"/>
      <c r="L5" s="271"/>
      <c r="M5" s="257"/>
      <c r="N5" s="257"/>
      <c r="O5" s="257"/>
      <c r="P5" s="257"/>
      <c r="Q5" s="258"/>
      <c r="R5" s="170"/>
      <c r="S5" s="170"/>
      <c r="T5" s="170"/>
      <c r="U5" s="170"/>
      <c r="V5" s="279"/>
    </row>
    <row r="6" spans="1:22" ht="30.75" customHeight="1" thickBot="1" x14ac:dyDescent="0.3">
      <c r="A6" s="334" t="s">
        <v>231</v>
      </c>
      <c r="B6" s="335"/>
      <c r="C6" s="335"/>
      <c r="D6" s="178"/>
      <c r="E6" s="174"/>
      <c r="F6" s="98">
        <v>150</v>
      </c>
      <c r="G6" s="179" t="s">
        <v>4</v>
      </c>
      <c r="H6" s="180">
        <v>0</v>
      </c>
      <c r="I6" s="181" t="s">
        <v>4</v>
      </c>
      <c r="J6" s="225"/>
      <c r="K6" s="284"/>
      <c r="L6" s="318" t="s">
        <v>242</v>
      </c>
      <c r="M6" s="319"/>
      <c r="N6" s="319"/>
      <c r="O6" s="257"/>
      <c r="P6" s="257"/>
      <c r="Q6" s="258"/>
      <c r="R6" s="170"/>
      <c r="S6" s="170"/>
      <c r="T6" s="170"/>
      <c r="U6" s="170"/>
      <c r="V6" s="279"/>
    </row>
    <row r="7" spans="1:22" ht="20.25" thickBot="1" x14ac:dyDescent="0.3">
      <c r="A7" s="334" t="s">
        <v>232</v>
      </c>
      <c r="B7" s="335"/>
      <c r="C7" s="335"/>
      <c r="D7" s="336"/>
      <c r="E7" s="336"/>
      <c r="F7" s="98">
        <v>50</v>
      </c>
      <c r="G7" s="179" t="s">
        <v>4</v>
      </c>
      <c r="H7" s="180">
        <v>0</v>
      </c>
      <c r="I7" s="181" t="s">
        <v>4</v>
      </c>
      <c r="J7" s="225"/>
      <c r="K7" s="284"/>
      <c r="L7" s="271" t="s">
        <v>245</v>
      </c>
      <c r="M7" s="255"/>
      <c r="N7" s="255"/>
      <c r="O7" s="255"/>
      <c r="P7" s="255"/>
      <c r="Q7" s="256"/>
      <c r="R7" s="170"/>
      <c r="S7" s="170"/>
      <c r="T7" s="170"/>
      <c r="U7" s="170"/>
      <c r="V7" s="279"/>
    </row>
    <row r="8" spans="1:22" ht="20.25" hidden="1" thickBot="1" x14ac:dyDescent="0.35">
      <c r="A8" s="223" t="s">
        <v>5</v>
      </c>
      <c r="B8" s="175"/>
      <c r="C8" s="175"/>
      <c r="D8" s="182"/>
      <c r="E8" s="174"/>
      <c r="F8" s="63">
        <f>F6+F7</f>
        <v>200</v>
      </c>
      <c r="G8" s="179" t="s">
        <v>4</v>
      </c>
      <c r="H8" s="183">
        <f>H6+H7</f>
        <v>0</v>
      </c>
      <c r="I8" s="181" t="s">
        <v>4</v>
      </c>
      <c r="J8" s="227"/>
      <c r="K8" s="285"/>
      <c r="L8" s="272"/>
      <c r="M8" s="264"/>
      <c r="N8" s="264"/>
      <c r="O8" s="264"/>
      <c r="P8" s="264"/>
      <c r="Q8" s="265"/>
      <c r="R8" s="170"/>
      <c r="S8" s="170"/>
      <c r="T8" s="170"/>
      <c r="U8" s="170"/>
      <c r="V8" s="279"/>
    </row>
    <row r="9" spans="1:22" ht="20.25" hidden="1" thickBot="1" x14ac:dyDescent="0.3">
      <c r="A9" s="226" t="s">
        <v>6</v>
      </c>
      <c r="B9" s="174"/>
      <c r="C9" s="174"/>
      <c r="D9" s="182"/>
      <c r="E9" s="184"/>
      <c r="F9" s="64">
        <f>F10-F8</f>
        <v>150</v>
      </c>
      <c r="G9" s="179"/>
      <c r="H9" s="185">
        <f>F10-H8</f>
        <v>350</v>
      </c>
      <c r="I9" s="181" t="s">
        <v>4</v>
      </c>
      <c r="J9" s="227"/>
      <c r="K9" s="285"/>
      <c r="L9" s="272"/>
      <c r="M9" s="257"/>
      <c r="N9" s="257"/>
      <c r="O9" s="257"/>
      <c r="P9" s="257"/>
      <c r="Q9" s="258"/>
      <c r="R9" s="170"/>
      <c r="S9" s="170"/>
      <c r="T9" s="170"/>
      <c r="U9" s="170"/>
      <c r="V9" s="279"/>
    </row>
    <row r="10" spans="1:22" ht="20.25" thickBot="1" x14ac:dyDescent="0.3">
      <c r="A10" s="226" t="s">
        <v>7</v>
      </c>
      <c r="B10" s="174"/>
      <c r="C10" s="174"/>
      <c r="D10" s="178"/>
      <c r="E10" s="174"/>
      <c r="F10" s="102">
        <v>350</v>
      </c>
      <c r="G10" s="179" t="s">
        <v>4</v>
      </c>
      <c r="H10" s="181"/>
      <c r="I10" s="181"/>
      <c r="J10" s="227"/>
      <c r="K10" s="285"/>
      <c r="L10" s="271" t="s">
        <v>244</v>
      </c>
      <c r="M10" s="257"/>
      <c r="N10" s="257"/>
      <c r="O10" s="257"/>
      <c r="P10" s="257"/>
      <c r="Q10" s="258"/>
      <c r="R10" s="170"/>
      <c r="S10" s="170"/>
      <c r="T10" s="170"/>
      <c r="U10" s="170"/>
      <c r="V10" s="279"/>
    </row>
    <row r="11" spans="1:22" ht="20.25" thickBot="1" x14ac:dyDescent="0.3">
      <c r="A11" s="226"/>
      <c r="B11" s="174"/>
      <c r="C11" s="174"/>
      <c r="D11" s="178"/>
      <c r="E11" s="174"/>
      <c r="F11" s="65"/>
      <c r="G11" s="179"/>
      <c r="H11" s="179"/>
      <c r="I11" s="179"/>
      <c r="J11" s="227"/>
      <c r="K11" s="285"/>
      <c r="L11" s="272"/>
      <c r="M11" s="257"/>
      <c r="N11" s="257"/>
      <c r="O11" s="257"/>
      <c r="P11" s="257"/>
      <c r="Q11" s="258"/>
      <c r="R11" s="170"/>
      <c r="S11" s="170"/>
      <c r="T11" s="170"/>
      <c r="U11" s="170"/>
      <c r="V11" s="279"/>
    </row>
    <row r="12" spans="1:22" ht="21" customHeight="1" thickBot="1" x14ac:dyDescent="0.3">
      <c r="A12" s="228" t="s">
        <v>8</v>
      </c>
      <c r="B12" s="174"/>
      <c r="C12" s="174"/>
      <c r="D12" s="178"/>
      <c r="E12" s="174"/>
      <c r="F12" s="102" t="s">
        <v>9</v>
      </c>
      <c r="G12" s="179"/>
      <c r="H12" s="179"/>
      <c r="I12" s="179"/>
      <c r="J12" s="227"/>
      <c r="K12" s="285"/>
      <c r="L12" s="318" t="s">
        <v>243</v>
      </c>
      <c r="M12" s="319"/>
      <c r="N12" s="319"/>
      <c r="O12" s="319"/>
      <c r="P12" s="257"/>
      <c r="Q12" s="258"/>
      <c r="R12" s="170"/>
      <c r="S12" s="170"/>
      <c r="T12" s="170"/>
      <c r="U12" s="170"/>
      <c r="V12" s="279"/>
    </row>
    <row r="13" spans="1:22" ht="21" hidden="1" customHeight="1" thickBot="1" x14ac:dyDescent="0.3">
      <c r="A13" s="229" t="s">
        <v>10</v>
      </c>
      <c r="B13" s="174"/>
      <c r="C13" s="174"/>
      <c r="D13" s="178"/>
      <c r="E13" s="174"/>
      <c r="F13" s="66" t="s">
        <v>154</v>
      </c>
      <c r="G13" s="179"/>
      <c r="H13" s="179"/>
      <c r="I13" s="179"/>
      <c r="J13" s="227"/>
      <c r="K13" s="285"/>
      <c r="L13" s="273"/>
      <c r="M13" s="255"/>
      <c r="N13" s="255"/>
      <c r="O13" s="255"/>
      <c r="P13" s="255"/>
      <c r="Q13" s="256"/>
      <c r="R13" s="170"/>
      <c r="S13" s="170"/>
      <c r="T13" s="170"/>
      <c r="U13" s="170"/>
      <c r="V13" s="279"/>
    </row>
    <row r="14" spans="1:22" ht="19.5" hidden="1" x14ac:dyDescent="0.25">
      <c r="A14" s="229"/>
      <c r="B14" s="174"/>
      <c r="C14" s="174"/>
      <c r="D14" s="186"/>
      <c r="E14" s="174"/>
      <c r="F14" s="187"/>
      <c r="G14" s="179"/>
      <c r="H14" s="179"/>
      <c r="I14" s="179"/>
      <c r="J14" s="227"/>
      <c r="K14" s="285"/>
      <c r="L14" s="271"/>
      <c r="M14" s="257"/>
      <c r="N14" s="257"/>
      <c r="O14" s="257"/>
      <c r="P14" s="257"/>
      <c r="Q14" s="258"/>
      <c r="R14" s="170"/>
      <c r="S14" s="170"/>
      <c r="T14" s="170"/>
      <c r="U14" s="170"/>
      <c r="V14" s="279"/>
    </row>
    <row r="15" spans="1:22" ht="19.5" hidden="1" x14ac:dyDescent="0.25">
      <c r="A15" s="341" t="s">
        <v>11</v>
      </c>
      <c r="B15" s="342"/>
      <c r="C15" s="342"/>
      <c r="D15" s="342"/>
      <c r="E15" s="342"/>
      <c r="F15" s="343"/>
      <c r="G15" s="179"/>
      <c r="H15" s="179"/>
      <c r="I15" s="179"/>
      <c r="J15" s="227"/>
      <c r="K15" s="285"/>
      <c r="L15" s="271"/>
      <c r="M15" s="257"/>
      <c r="N15" s="257"/>
      <c r="O15" s="257"/>
      <c r="P15" s="257"/>
      <c r="Q15" s="258"/>
      <c r="R15" s="170"/>
      <c r="S15" s="170"/>
      <c r="T15" s="170"/>
      <c r="U15" s="170"/>
      <c r="V15" s="279"/>
    </row>
    <row r="16" spans="1:22" ht="15.75" hidden="1" customHeight="1" thickBot="1" x14ac:dyDescent="0.3">
      <c r="A16" s="344" t="s">
        <v>12</v>
      </c>
      <c r="B16" s="345"/>
      <c r="C16" s="345"/>
      <c r="D16" s="345"/>
      <c r="E16" s="345"/>
      <c r="F16" s="346"/>
      <c r="G16" s="179"/>
      <c r="H16" s="179"/>
      <c r="I16" s="179"/>
      <c r="J16" s="227"/>
      <c r="K16" s="285"/>
      <c r="L16" s="271"/>
      <c r="M16" s="257"/>
      <c r="N16" s="257"/>
      <c r="O16" s="257"/>
      <c r="P16" s="257"/>
      <c r="Q16" s="258"/>
      <c r="R16" s="170"/>
      <c r="S16" s="170"/>
      <c r="T16" s="170"/>
      <c r="U16" s="170"/>
      <c r="V16" s="279"/>
    </row>
    <row r="17" spans="1:22" ht="19.5" hidden="1" customHeight="1" x14ac:dyDescent="0.25">
      <c r="A17" s="311" t="s">
        <v>13</v>
      </c>
      <c r="B17" s="312"/>
      <c r="C17" s="312"/>
      <c r="D17" s="312"/>
      <c r="E17" s="312"/>
      <c r="F17" s="312"/>
      <c r="G17" s="312"/>
      <c r="H17" s="312"/>
      <c r="I17" s="312"/>
      <c r="J17" s="333"/>
      <c r="K17" s="282"/>
      <c r="L17" s="273"/>
      <c r="M17" s="255"/>
      <c r="N17" s="255"/>
      <c r="O17" s="255"/>
      <c r="P17" s="255"/>
      <c r="Q17" s="256"/>
      <c r="R17" s="170"/>
      <c r="S17" s="170"/>
      <c r="T17" s="170"/>
      <c r="U17" s="170"/>
      <c r="V17" s="279"/>
    </row>
    <row r="18" spans="1:22" ht="19.5" hidden="1" x14ac:dyDescent="0.25">
      <c r="A18" s="231"/>
      <c r="B18" s="173"/>
      <c r="C18" s="173"/>
      <c r="D18" s="173"/>
      <c r="E18" s="173"/>
      <c r="F18" s="173"/>
      <c r="G18" s="173"/>
      <c r="H18" s="173"/>
      <c r="I18" s="173"/>
      <c r="J18" s="227"/>
      <c r="K18" s="285"/>
      <c r="L18" s="273"/>
      <c r="M18" s="255"/>
      <c r="N18" s="255"/>
      <c r="O18" s="255"/>
      <c r="P18" s="255"/>
      <c r="Q18" s="256"/>
      <c r="R18" s="170"/>
      <c r="S18" s="170"/>
      <c r="T18" s="170"/>
      <c r="U18" s="170"/>
      <c r="V18" s="279"/>
    </row>
    <row r="19" spans="1:22" ht="20.25" hidden="1" thickBot="1" x14ac:dyDescent="0.3">
      <c r="A19" s="232" t="s">
        <v>14</v>
      </c>
      <c r="B19" s="179"/>
      <c r="C19" s="179"/>
      <c r="D19" s="179"/>
      <c r="E19" s="179"/>
      <c r="F19" s="68" t="s">
        <v>148</v>
      </c>
      <c r="G19" s="179"/>
      <c r="H19" s="186" t="s">
        <v>16</v>
      </c>
      <c r="I19" s="179"/>
      <c r="J19" s="227"/>
      <c r="K19" s="285"/>
      <c r="L19" s="271"/>
      <c r="M19" s="257"/>
      <c r="N19" s="257"/>
      <c r="O19" s="257"/>
      <c r="P19" s="257"/>
      <c r="Q19" s="258"/>
      <c r="R19" s="170"/>
      <c r="S19" s="170"/>
      <c r="T19" s="170"/>
      <c r="U19" s="170"/>
      <c r="V19" s="279"/>
    </row>
    <row r="20" spans="1:22" ht="19.5" hidden="1" x14ac:dyDescent="0.25">
      <c r="A20" s="232" t="s">
        <v>17</v>
      </c>
      <c r="B20" s="179"/>
      <c r="C20" s="179"/>
      <c r="D20" s="179"/>
      <c r="E20" s="179"/>
      <c r="F20" s="188">
        <f>IF(F19="Sand", 0.00005, IF(F19="Sandy Clay", 0.00001, IF(F19="Medium Clay", 0.000001, IF(F19="Heavy Clay", 0.00000001, IF(F19="Custom", 'Design Parameters'!B6)))))</f>
        <v>1.0000000000000001E-5</v>
      </c>
      <c r="G20" s="189" t="s">
        <v>18</v>
      </c>
      <c r="H20" s="190"/>
      <c r="I20" s="179"/>
      <c r="J20" s="227"/>
      <c r="K20" s="285"/>
      <c r="L20" s="271"/>
      <c r="M20" s="257"/>
      <c r="N20" s="257"/>
      <c r="O20" s="257"/>
      <c r="P20" s="257"/>
      <c r="Q20" s="258"/>
      <c r="R20" s="170"/>
      <c r="S20" s="170"/>
      <c r="T20" s="170"/>
      <c r="U20" s="170"/>
      <c r="V20" s="279"/>
    </row>
    <row r="21" spans="1:22" ht="19.5" hidden="1" x14ac:dyDescent="0.25">
      <c r="A21" s="232" t="s">
        <v>19</v>
      </c>
      <c r="B21" s="179"/>
      <c r="C21" s="179"/>
      <c r="D21" s="179"/>
      <c r="E21" s="179"/>
      <c r="F21" s="191">
        <f>IF(F19="Sand", 0.5, IF(F19="Sandy Clay", 1, IF(F19="Medium Clay", 2, IF(F19="Heavy Clay", 2, IF(F19="Custom", 'Design Parameters'!B13)))))</f>
        <v>1</v>
      </c>
      <c r="G21" s="189"/>
      <c r="H21" s="190"/>
      <c r="I21" s="179"/>
      <c r="J21" s="227"/>
      <c r="K21" s="285"/>
      <c r="L21" s="271"/>
      <c r="M21" s="257"/>
      <c r="N21" s="257"/>
      <c r="O21" s="257"/>
      <c r="P21" s="257"/>
      <c r="Q21" s="258"/>
      <c r="R21" s="170"/>
      <c r="S21" s="170"/>
      <c r="T21" s="170"/>
      <c r="U21" s="170"/>
      <c r="V21" s="279"/>
    </row>
    <row r="22" spans="1:22" ht="19.5" hidden="1" x14ac:dyDescent="0.25">
      <c r="A22" s="232"/>
      <c r="B22" s="192"/>
      <c r="C22" s="179"/>
      <c r="D22" s="179"/>
      <c r="E22" s="179"/>
      <c r="F22" s="179"/>
      <c r="G22" s="179"/>
      <c r="H22" s="179"/>
      <c r="I22" s="179"/>
      <c r="J22" s="227"/>
      <c r="K22" s="285"/>
      <c r="L22" s="271"/>
      <c r="M22" s="257"/>
      <c r="N22" s="257"/>
      <c r="O22" s="257"/>
      <c r="P22" s="257"/>
      <c r="Q22" s="258"/>
      <c r="R22" s="170"/>
      <c r="S22" s="170"/>
      <c r="T22" s="170"/>
      <c r="U22" s="170"/>
      <c r="V22" s="279"/>
    </row>
    <row r="23" spans="1:22" ht="20.25" hidden="1" x14ac:dyDescent="0.25">
      <c r="A23" s="311" t="s">
        <v>20</v>
      </c>
      <c r="B23" s="312"/>
      <c r="C23" s="312"/>
      <c r="D23" s="312"/>
      <c r="E23" s="312"/>
      <c r="F23" s="312"/>
      <c r="G23" s="312"/>
      <c r="H23" s="312"/>
      <c r="I23" s="312"/>
      <c r="J23" s="333"/>
      <c r="K23" s="282"/>
      <c r="L23" s="271"/>
      <c r="M23" s="257"/>
      <c r="N23" s="257"/>
      <c r="O23" s="257"/>
      <c r="P23" s="257"/>
      <c r="Q23" s="258"/>
      <c r="R23" s="170"/>
      <c r="S23" s="170"/>
      <c r="T23" s="170"/>
      <c r="U23" s="170"/>
      <c r="V23" s="279"/>
    </row>
    <row r="24" spans="1:22" ht="19.5" hidden="1" x14ac:dyDescent="0.25">
      <c r="A24" s="231"/>
      <c r="B24" s="173"/>
      <c r="C24" s="173"/>
      <c r="D24" s="173"/>
      <c r="E24" s="173"/>
      <c r="F24" s="173"/>
      <c r="G24" s="173"/>
      <c r="H24" s="193" t="s">
        <v>21</v>
      </c>
      <c r="I24" s="173"/>
      <c r="J24" s="233"/>
      <c r="K24" s="286"/>
      <c r="L24" s="271"/>
      <c r="M24" s="257"/>
      <c r="N24" s="257"/>
      <c r="O24" s="257"/>
      <c r="P24" s="257"/>
      <c r="Q24" s="258"/>
      <c r="R24" s="170"/>
      <c r="S24" s="170"/>
      <c r="T24" s="170"/>
      <c r="U24" s="170"/>
      <c r="V24" s="279"/>
    </row>
    <row r="25" spans="1:22" ht="19.5" hidden="1" x14ac:dyDescent="0.25">
      <c r="A25" s="226" t="s">
        <v>22</v>
      </c>
      <c r="B25" s="174"/>
      <c r="C25" s="173"/>
      <c r="D25" s="173"/>
      <c r="E25" s="173"/>
      <c r="F25" s="69">
        <f>IF(AND(F$19="Sand", F$12="YES"), 2, IF(AND(F$19&lt;&gt;"Sand", F$12="YES"), 20, IF(AND(F$19&lt;&gt;"Sand", F$12="NO"), 100, 100)))</f>
        <v>20</v>
      </c>
      <c r="G25" s="174" t="s">
        <v>23</v>
      </c>
      <c r="H25" s="347" t="s">
        <v>233</v>
      </c>
      <c r="I25" s="348"/>
      <c r="J25" s="349"/>
      <c r="K25" s="287"/>
      <c r="L25" s="271"/>
      <c r="M25" s="257"/>
      <c r="N25" s="257"/>
      <c r="O25" s="257"/>
      <c r="P25" s="257"/>
      <c r="Q25" s="258"/>
      <c r="R25" s="170"/>
      <c r="S25" s="170"/>
      <c r="T25" s="170"/>
      <c r="U25" s="170"/>
      <c r="V25" s="279"/>
    </row>
    <row r="26" spans="1:22" ht="20.25" hidden="1" thickBot="1" x14ac:dyDescent="0.3">
      <c r="A26" s="223" t="s">
        <v>24</v>
      </c>
      <c r="B26" s="174"/>
      <c r="C26" s="186" t="s">
        <v>25</v>
      </c>
      <c r="D26" s="173"/>
      <c r="E26" s="194"/>
      <c r="F26" s="70">
        <v>60</v>
      </c>
      <c r="G26" s="174" t="s">
        <v>26</v>
      </c>
      <c r="H26" s="350"/>
      <c r="I26" s="351"/>
      <c r="J26" s="352"/>
      <c r="K26" s="287"/>
      <c r="L26" s="271"/>
      <c r="M26" s="257"/>
      <c r="N26" s="257"/>
      <c r="O26" s="257"/>
      <c r="P26" s="257"/>
      <c r="Q26" s="258"/>
      <c r="R26" s="170"/>
      <c r="S26" s="170"/>
      <c r="T26" s="170"/>
      <c r="U26" s="170"/>
      <c r="V26" s="279"/>
    </row>
    <row r="27" spans="1:22" ht="19.5" hidden="1" x14ac:dyDescent="0.25">
      <c r="A27" s="223" t="s">
        <v>27</v>
      </c>
      <c r="B27" s="174"/>
      <c r="C27" s="174"/>
      <c r="D27" s="174"/>
      <c r="E27" s="174"/>
      <c r="F27" s="69" cm="1">
        <f t="array" ref="F27">_xlfn.XLOOKUP(F$26,'Input-Rainfall Data'!A$11:A$39,_xlfn.XLOOKUP(F$25,'Input-Rainfall Data'!C$9:I$9,'Input-Rainfall Data'!C11:I39))</f>
        <v>32.5</v>
      </c>
      <c r="G27" s="174" t="s">
        <v>28</v>
      </c>
      <c r="H27" s="347" t="s">
        <v>234</v>
      </c>
      <c r="I27" s="353"/>
      <c r="J27" s="354"/>
      <c r="K27" s="288"/>
      <c r="L27" s="271"/>
      <c r="M27" s="257"/>
      <c r="N27" s="257"/>
      <c r="O27" s="257"/>
      <c r="P27" s="257"/>
      <c r="Q27" s="258"/>
      <c r="R27" s="170"/>
      <c r="S27" s="170"/>
      <c r="T27" s="170"/>
      <c r="U27" s="170"/>
      <c r="V27" s="279"/>
    </row>
    <row r="28" spans="1:22" ht="18.75" hidden="1" customHeight="1" thickBot="1" x14ac:dyDescent="0.3">
      <c r="A28" s="334" t="s">
        <v>225</v>
      </c>
      <c r="B28" s="335"/>
      <c r="C28" s="173"/>
      <c r="D28" s="173"/>
      <c r="E28" s="194"/>
      <c r="F28" s="71">
        <f>100/F25</f>
        <v>5</v>
      </c>
      <c r="G28" s="174" t="s">
        <v>226</v>
      </c>
      <c r="H28" s="355"/>
      <c r="I28" s="356"/>
      <c r="J28" s="357"/>
      <c r="K28" s="288"/>
      <c r="L28" s="271"/>
      <c r="M28" s="257"/>
      <c r="N28" s="257"/>
      <c r="O28" s="257"/>
      <c r="P28" s="257"/>
      <c r="Q28" s="258"/>
      <c r="R28" s="170"/>
      <c r="S28" s="170"/>
      <c r="T28" s="170"/>
      <c r="U28" s="170"/>
      <c r="V28" s="279"/>
    </row>
    <row r="29" spans="1:22" ht="19.5" hidden="1" x14ac:dyDescent="0.25">
      <c r="A29" s="226"/>
      <c r="B29" s="174"/>
      <c r="C29" s="173"/>
      <c r="D29" s="173"/>
      <c r="E29" s="194"/>
      <c r="F29" s="194"/>
      <c r="G29" s="174"/>
      <c r="H29" s="347" t="s">
        <v>235</v>
      </c>
      <c r="I29" s="353"/>
      <c r="J29" s="354"/>
      <c r="K29" s="288"/>
      <c r="L29" s="271"/>
      <c r="M29" s="257"/>
      <c r="N29" s="257"/>
      <c r="O29" s="257"/>
      <c r="P29" s="257"/>
      <c r="Q29" s="258"/>
      <c r="R29" s="170"/>
      <c r="S29" s="170"/>
      <c r="T29" s="170"/>
      <c r="U29" s="170"/>
      <c r="V29" s="279"/>
    </row>
    <row r="30" spans="1:22" ht="20.25" hidden="1" thickBot="1" x14ac:dyDescent="0.3">
      <c r="A30" s="226"/>
      <c r="B30" s="174"/>
      <c r="C30" s="173"/>
      <c r="D30" s="173"/>
      <c r="E30" s="194"/>
      <c r="F30" s="194"/>
      <c r="G30" s="174"/>
      <c r="H30" s="355"/>
      <c r="I30" s="356"/>
      <c r="J30" s="357"/>
      <c r="K30" s="288"/>
      <c r="L30" s="271"/>
      <c r="M30" s="257"/>
      <c r="N30" s="257"/>
      <c r="O30" s="257"/>
      <c r="P30" s="257"/>
      <c r="Q30" s="258"/>
      <c r="R30" s="170"/>
      <c r="S30" s="170"/>
      <c r="T30" s="170"/>
      <c r="U30" s="170"/>
      <c r="V30" s="279"/>
    </row>
    <row r="31" spans="1:22" ht="40.5" hidden="1" x14ac:dyDescent="0.25">
      <c r="A31" s="234" t="s">
        <v>29</v>
      </c>
      <c r="B31" s="195"/>
      <c r="C31" s="196"/>
      <c r="D31" s="196"/>
      <c r="E31" s="196"/>
      <c r="F31" s="197"/>
      <c r="G31" s="195"/>
      <c r="H31" s="195"/>
      <c r="I31" s="195"/>
      <c r="J31" s="235"/>
      <c r="K31" s="289"/>
      <c r="L31" s="271"/>
      <c r="M31" s="266"/>
      <c r="N31" s="259"/>
      <c r="O31" s="259"/>
      <c r="P31" s="257"/>
      <c r="Q31" s="258"/>
      <c r="R31" s="170"/>
      <c r="S31" s="170"/>
      <c r="T31" s="170"/>
      <c r="U31" s="170"/>
      <c r="V31" s="279"/>
    </row>
    <row r="32" spans="1:22" ht="19.5" hidden="1" x14ac:dyDescent="0.25">
      <c r="A32" s="226" t="s">
        <v>30</v>
      </c>
      <c r="B32" s="174"/>
      <c r="C32" s="173"/>
      <c r="D32" s="173"/>
      <c r="E32" s="198" t="s">
        <v>31</v>
      </c>
      <c r="F32" s="199">
        <v>1</v>
      </c>
      <c r="G32" s="174"/>
      <c r="H32" s="186"/>
      <c r="I32" s="173"/>
      <c r="J32" s="227"/>
      <c r="K32" s="285"/>
      <c r="L32" s="271"/>
      <c r="M32" s="259"/>
      <c r="N32" s="259"/>
      <c r="O32" s="259"/>
      <c r="P32" s="257"/>
      <c r="Q32" s="258"/>
      <c r="R32" s="170"/>
      <c r="S32" s="170"/>
      <c r="T32" s="170"/>
      <c r="U32" s="170"/>
      <c r="V32" s="279"/>
    </row>
    <row r="33" spans="1:55" ht="19.5" hidden="1" x14ac:dyDescent="0.25">
      <c r="A33" s="228" t="s">
        <v>32</v>
      </c>
      <c r="B33" s="174"/>
      <c r="C33" s="173"/>
      <c r="D33" s="173"/>
      <c r="E33" s="198" t="s">
        <v>31</v>
      </c>
      <c r="F33" s="199">
        <v>0.9</v>
      </c>
      <c r="G33" s="174"/>
      <c r="H33" s="186"/>
      <c r="I33" s="173"/>
      <c r="J33" s="227"/>
      <c r="K33" s="285"/>
      <c r="L33" s="271"/>
      <c r="M33" s="259"/>
      <c r="N33" s="259"/>
      <c r="O33" s="259"/>
      <c r="P33" s="257"/>
      <c r="Q33" s="258"/>
      <c r="R33" s="170"/>
      <c r="S33" s="170"/>
      <c r="T33" s="170"/>
      <c r="U33" s="170"/>
      <c r="V33" s="279"/>
    </row>
    <row r="34" spans="1:55" ht="19.5" hidden="1" x14ac:dyDescent="0.25">
      <c r="A34" s="228" t="s">
        <v>33</v>
      </c>
      <c r="B34" s="174"/>
      <c r="C34" s="173"/>
      <c r="D34" s="173"/>
      <c r="E34" s="198" t="s">
        <v>34</v>
      </c>
      <c r="F34" s="72">
        <f>MAX(IF('Input-Rainfall Data'!F$22 &lt; 25, 25, IF('Input-Rainfall Data'!F$22 &gt; 70, 70, 'Input-Rainfall Data'!F$22))*0.0133 - 0.233 - IF(F$19="SAND", 0.1, -0.1), 0.1)</f>
        <v>0.24339</v>
      </c>
      <c r="G34" s="174"/>
      <c r="H34" s="186" t="s">
        <v>236</v>
      </c>
      <c r="I34" s="173"/>
      <c r="J34" s="227"/>
      <c r="K34" s="285"/>
      <c r="L34" s="271"/>
      <c r="M34" s="259"/>
      <c r="N34" s="259"/>
      <c r="O34" s="259"/>
      <c r="P34" s="257"/>
      <c r="Q34" s="258"/>
      <c r="R34" s="170"/>
      <c r="S34" s="170"/>
      <c r="T34" s="170"/>
      <c r="U34" s="170"/>
      <c r="V34" s="279"/>
    </row>
    <row r="35" spans="1:55" ht="20.25" hidden="1" x14ac:dyDescent="0.25">
      <c r="A35" s="311" t="s">
        <v>35</v>
      </c>
      <c r="B35" s="312"/>
      <c r="C35" s="312"/>
      <c r="D35" s="312"/>
      <c r="E35" s="312"/>
      <c r="F35" s="312"/>
      <c r="G35" s="312"/>
      <c r="H35" s="312"/>
      <c r="I35" s="312"/>
      <c r="J35" s="333"/>
      <c r="K35" s="282"/>
      <c r="L35" s="271"/>
      <c r="M35" s="259"/>
      <c r="N35" s="259"/>
      <c r="O35" s="259"/>
      <c r="P35" s="257"/>
      <c r="Q35" s="258"/>
      <c r="R35" s="170"/>
      <c r="S35" s="170"/>
      <c r="T35" s="170"/>
      <c r="U35" s="170"/>
      <c r="V35" s="279"/>
    </row>
    <row r="36" spans="1:55" ht="19.5" hidden="1" x14ac:dyDescent="0.25">
      <c r="A36" s="226"/>
      <c r="B36" s="174"/>
      <c r="C36" s="173"/>
      <c r="D36" s="173"/>
      <c r="E36" s="173"/>
      <c r="F36" s="200"/>
      <c r="G36" s="174"/>
      <c r="H36" s="186"/>
      <c r="I36" s="173"/>
      <c r="J36" s="227"/>
      <c r="K36" s="285"/>
      <c r="L36" s="271"/>
      <c r="M36" s="257"/>
      <c r="N36" s="257"/>
      <c r="O36" s="257"/>
      <c r="P36" s="257"/>
      <c r="Q36" s="258"/>
      <c r="R36" s="170"/>
      <c r="S36" s="170"/>
      <c r="T36" s="170"/>
      <c r="U36" s="170"/>
      <c r="V36" s="279"/>
    </row>
    <row r="37" spans="1:55" ht="19.5" hidden="1" x14ac:dyDescent="0.25">
      <c r="A37" s="232" t="s">
        <v>36</v>
      </c>
      <c r="B37" s="179"/>
      <c r="C37" s="173"/>
      <c r="D37" s="173"/>
      <c r="E37" s="173"/>
      <c r="F37" s="73">
        <f>F$26</f>
        <v>60</v>
      </c>
      <c r="G37" s="179" t="s">
        <v>26</v>
      </c>
      <c r="H37" s="173"/>
      <c r="I37" s="173"/>
      <c r="J37" s="227"/>
      <c r="K37" s="285"/>
      <c r="L37" s="271"/>
      <c r="M37" s="257"/>
      <c r="N37" s="257"/>
      <c r="O37" s="257"/>
      <c r="P37" s="257"/>
      <c r="Q37" s="258"/>
      <c r="R37" s="170"/>
      <c r="S37" s="170"/>
      <c r="T37" s="170"/>
      <c r="U37" s="170"/>
      <c r="V37" s="279"/>
    </row>
    <row r="38" spans="1:55" ht="19.5" hidden="1" x14ac:dyDescent="0.25">
      <c r="A38" s="228" t="s">
        <v>37</v>
      </c>
      <c r="B38" s="189"/>
      <c r="C38" s="173"/>
      <c r="D38" s="173"/>
      <c r="E38" s="173"/>
      <c r="F38" s="74">
        <f>F$37*60</f>
        <v>3600</v>
      </c>
      <c r="G38" s="179" t="s">
        <v>38</v>
      </c>
      <c r="H38" s="186"/>
      <c r="I38" s="173"/>
      <c r="J38" s="227"/>
      <c r="K38" s="285"/>
      <c r="L38" s="271"/>
      <c r="M38" s="257"/>
      <c r="N38" s="257"/>
      <c r="O38" s="257"/>
      <c r="P38" s="257"/>
      <c r="Q38" s="258"/>
      <c r="R38" s="170"/>
      <c r="S38" s="170"/>
      <c r="T38" s="170"/>
      <c r="U38" s="170"/>
      <c r="V38" s="279"/>
    </row>
    <row r="39" spans="1:55" ht="19.5" hidden="1" x14ac:dyDescent="0.25">
      <c r="A39" s="236" t="s">
        <v>39</v>
      </c>
      <c r="B39" s="201"/>
      <c r="C39" s="173"/>
      <c r="D39" s="173"/>
      <c r="E39" s="173"/>
      <c r="F39" s="75">
        <f>F$27</f>
        <v>32.5</v>
      </c>
      <c r="G39" s="179" t="s">
        <v>28</v>
      </c>
      <c r="H39" s="186"/>
      <c r="I39" s="173"/>
      <c r="J39" s="227"/>
      <c r="K39" s="285"/>
      <c r="L39" s="271"/>
      <c r="M39" s="257"/>
      <c r="N39" s="257"/>
      <c r="O39" s="257"/>
      <c r="P39" s="257"/>
      <c r="Q39" s="258"/>
      <c r="R39" s="170"/>
      <c r="S39" s="170"/>
      <c r="T39" s="170"/>
      <c r="U39" s="170"/>
      <c r="V39" s="279"/>
    </row>
    <row r="40" spans="1:55" ht="19.5" hidden="1" x14ac:dyDescent="0.25">
      <c r="A40" s="228" t="s">
        <v>40</v>
      </c>
      <c r="B40" s="189"/>
      <c r="C40" s="173"/>
      <c r="D40" s="173"/>
      <c r="E40" s="173"/>
      <c r="F40" s="75">
        <f>(('Drainage calculator'!F$6*'Drainage calculator'!F$32)+('Drainage calculator'!F$7*'Drainage calculator'!F$33)+('Drainage calculator'!F$9*'Drainage calculator'!F$34))*F$39/3600</f>
        <v>2.0900072916666668</v>
      </c>
      <c r="G40" s="179" t="s">
        <v>41</v>
      </c>
      <c r="H40" s="186"/>
      <c r="I40" s="173"/>
      <c r="J40" s="227"/>
      <c r="K40" s="285"/>
      <c r="L40" s="271"/>
      <c r="M40" s="257"/>
      <c r="N40" s="257"/>
      <c r="O40" s="257"/>
      <c r="P40" s="257"/>
      <c r="Q40" s="258"/>
      <c r="R40" s="170"/>
      <c r="S40" s="170"/>
      <c r="T40" s="170"/>
      <c r="U40" s="170"/>
      <c r="V40" s="279"/>
    </row>
    <row r="41" spans="1:55" ht="19.5" hidden="1" x14ac:dyDescent="0.25">
      <c r="A41" s="228" t="s">
        <v>42</v>
      </c>
      <c r="B41" s="189"/>
      <c r="C41" s="173"/>
      <c r="D41" s="173"/>
      <c r="E41" s="173"/>
      <c r="F41" s="76">
        <f>F$40*F$38/1000</f>
        <v>7.5240262500000004</v>
      </c>
      <c r="G41" s="179" t="s">
        <v>43</v>
      </c>
      <c r="H41" s="186"/>
      <c r="I41" s="173"/>
      <c r="J41" s="227"/>
      <c r="K41" s="285"/>
      <c r="L41" s="271"/>
      <c r="M41" s="257"/>
      <c r="N41" s="257"/>
      <c r="O41" s="257"/>
      <c r="P41" s="257"/>
      <c r="Q41" s="258"/>
      <c r="R41" s="170"/>
      <c r="S41" s="170"/>
      <c r="T41" s="170"/>
      <c r="U41" s="170"/>
      <c r="V41" s="279"/>
    </row>
    <row r="42" spans="1:55" ht="19.5" hidden="1" x14ac:dyDescent="0.25">
      <c r="A42" s="226"/>
      <c r="B42" s="174"/>
      <c r="C42" s="173"/>
      <c r="D42" s="173"/>
      <c r="E42" s="173"/>
      <c r="F42" s="200"/>
      <c r="G42" s="174"/>
      <c r="H42" s="186"/>
      <c r="I42" s="173"/>
      <c r="J42" s="227"/>
      <c r="K42" s="285"/>
      <c r="L42" s="271"/>
      <c r="M42" s="257"/>
      <c r="N42" s="257"/>
      <c r="O42" s="257"/>
      <c r="P42" s="257"/>
      <c r="Q42" s="258"/>
      <c r="R42" s="170"/>
      <c r="S42" s="170"/>
      <c r="T42" s="170"/>
      <c r="U42" s="170"/>
      <c r="V42" s="279"/>
    </row>
    <row r="43" spans="1:55" ht="20.25" x14ac:dyDescent="0.25">
      <c r="A43" s="328" t="s">
        <v>239</v>
      </c>
      <c r="B43" s="329"/>
      <c r="C43" s="329"/>
      <c r="D43" s="329"/>
      <c r="E43" s="329"/>
      <c r="F43" s="329"/>
      <c r="G43" s="329"/>
      <c r="H43" s="329"/>
      <c r="I43" s="329"/>
      <c r="J43" s="330"/>
      <c r="K43" s="282"/>
      <c r="L43" s="271"/>
      <c r="M43" s="257"/>
      <c r="N43" s="257"/>
      <c r="O43" s="257"/>
      <c r="P43" s="257"/>
      <c r="Q43" s="258"/>
      <c r="R43" s="170"/>
      <c r="S43" s="170"/>
      <c r="T43" s="170"/>
      <c r="U43" s="170"/>
      <c r="V43" s="279"/>
    </row>
    <row r="44" spans="1:55" ht="19.5" x14ac:dyDescent="0.25">
      <c r="A44" s="226"/>
      <c r="B44" s="202" t="s">
        <v>44</v>
      </c>
      <c r="C44" s="179"/>
      <c r="D44" s="179"/>
      <c r="E44" s="179"/>
      <c r="F44" s="179"/>
      <c r="G44" s="179"/>
      <c r="H44" s="179"/>
      <c r="I44" s="179"/>
      <c r="J44" s="227"/>
      <c r="K44" s="285"/>
      <c r="L44" s="271"/>
      <c r="M44" s="260"/>
      <c r="N44" s="257"/>
      <c r="O44" s="257"/>
      <c r="P44" s="257"/>
      <c r="Q44" s="258"/>
      <c r="R44" s="170"/>
      <c r="S44" s="170"/>
      <c r="T44" s="170"/>
      <c r="U44" s="170"/>
      <c r="V44" s="279"/>
      <c r="AU44" s="167"/>
      <c r="AY44" s="167"/>
      <c r="BB44" s="167"/>
    </row>
    <row r="45" spans="1:55" ht="19.5" x14ac:dyDescent="0.25">
      <c r="A45" s="226"/>
      <c r="B45" s="179"/>
      <c r="C45" s="313" t="s">
        <v>45</v>
      </c>
      <c r="D45" s="315" t="s">
        <v>46</v>
      </c>
      <c r="E45" s="315" t="s">
        <v>47</v>
      </c>
      <c r="F45" s="316" t="s">
        <v>48</v>
      </c>
      <c r="G45" s="317" t="s">
        <v>49</v>
      </c>
      <c r="H45" s="317" t="s">
        <v>50</v>
      </c>
      <c r="I45" s="317" t="s">
        <v>51</v>
      </c>
      <c r="J45" s="314" t="s">
        <v>52</v>
      </c>
      <c r="K45" s="281"/>
      <c r="L45" s="271"/>
      <c r="M45" s="257"/>
      <c r="N45" s="257"/>
      <c r="O45" s="257"/>
      <c r="P45" s="257"/>
      <c r="Q45" s="258"/>
      <c r="R45" s="170"/>
      <c r="S45" s="170"/>
      <c r="T45" s="170"/>
      <c r="U45" s="170"/>
      <c r="V45" s="279"/>
      <c r="AU45" s="301"/>
      <c r="AV45" s="301"/>
      <c r="AW45" s="303"/>
      <c r="AX45" s="302"/>
      <c r="AY45" s="303"/>
      <c r="AZ45" s="303"/>
      <c r="BA45" s="302"/>
      <c r="BB45" s="303"/>
      <c r="BC45" s="303"/>
    </row>
    <row r="46" spans="1:55" ht="19.5" x14ac:dyDescent="0.25">
      <c r="A46" s="226"/>
      <c r="B46" s="179"/>
      <c r="C46" s="313"/>
      <c r="D46" s="315"/>
      <c r="E46" s="315"/>
      <c r="F46" s="316"/>
      <c r="G46" s="317"/>
      <c r="H46" s="317"/>
      <c r="I46" s="317"/>
      <c r="J46" s="314"/>
      <c r="K46" s="281"/>
      <c r="L46" s="271" t="s">
        <v>227</v>
      </c>
      <c r="M46" s="257"/>
      <c r="N46" s="257"/>
      <c r="O46" s="257"/>
      <c r="P46" s="257"/>
      <c r="Q46" s="258"/>
      <c r="R46" s="170"/>
      <c r="S46" s="170"/>
      <c r="T46" s="170"/>
      <c r="U46" s="170"/>
      <c r="V46" s="279"/>
      <c r="AU46" s="301"/>
      <c r="AV46" s="301"/>
      <c r="AW46" s="303"/>
      <c r="AX46" s="302"/>
      <c r="AY46" s="303"/>
      <c r="AZ46" s="303"/>
      <c r="BA46" s="302"/>
      <c r="BB46" s="302"/>
      <c r="BC46" s="303"/>
    </row>
    <row r="47" spans="1:55" ht="19.5" x14ac:dyDescent="0.25">
      <c r="A47" s="237" t="s">
        <v>53</v>
      </c>
      <c r="B47" s="179"/>
      <c r="C47" s="99" t="s">
        <v>56</v>
      </c>
      <c r="D47" s="100">
        <v>1.5</v>
      </c>
      <c r="E47" s="100">
        <v>1.5</v>
      </c>
      <c r="F47" s="101">
        <v>3</v>
      </c>
      <c r="G47" s="203">
        <f>IF(C47="ON", PI()*(D47/2)^2*F47, 0)</f>
        <v>5.3014376029327757</v>
      </c>
      <c r="H47" s="204">
        <f>G47*'Drainage calculator'!$F$21*'Drainage calculator'!$F$20</f>
        <v>5.3014376029327763E-5</v>
      </c>
      <c r="I47" s="205">
        <f>IF(C47="ON", PI()*(D47/2)^2*E47*F47, 0)</f>
        <v>7.9521564043991635</v>
      </c>
      <c r="J47" s="238">
        <f>IF(C47="ON", IFERROR(-((4.6 * D47) / (4 * F$20)) *LOG10((D47 / 4) / (E47 + (D47 / 4))) / 3600, 0), 0)</f>
        <v>33.49231270776756</v>
      </c>
      <c r="K47" s="290"/>
      <c r="L47" s="271" t="s">
        <v>247</v>
      </c>
      <c r="M47" s="257"/>
      <c r="N47" s="257"/>
      <c r="O47" s="257"/>
      <c r="P47" s="257"/>
      <c r="Q47" s="258"/>
      <c r="R47" s="170"/>
      <c r="S47" s="170"/>
      <c r="T47" s="170"/>
      <c r="U47" s="170"/>
      <c r="V47" s="279"/>
      <c r="BB47" s="168"/>
      <c r="BC47" s="168"/>
    </row>
    <row r="48" spans="1:55" ht="19.5" x14ac:dyDescent="0.25">
      <c r="A48" s="237" t="s">
        <v>55</v>
      </c>
      <c r="B48" s="179"/>
      <c r="C48" s="99" t="s">
        <v>54</v>
      </c>
      <c r="D48" s="100">
        <v>1.2</v>
      </c>
      <c r="E48" s="100">
        <v>0.9</v>
      </c>
      <c r="F48" s="101">
        <v>3</v>
      </c>
      <c r="G48" s="203">
        <f>IF(C48="ON", PI()*(D48/2)^2*F48, 0)</f>
        <v>0</v>
      </c>
      <c r="H48" s="204">
        <f>G48*'Drainage calculator'!$F$21*'Drainage calculator'!$F$20</f>
        <v>0</v>
      </c>
      <c r="I48" s="205">
        <f>IF(C48="ON", PI()*(D48/2)^2*E48*F48, 0)</f>
        <v>0</v>
      </c>
      <c r="J48" s="238">
        <f>IF(C48="ON", IFERROR(-((4.6 * D48) / (4 * F$20)) *LOG10((D48 / 4) / (E48 + (D48 / 4))) / 3600, 0), 0)</f>
        <v>0</v>
      </c>
      <c r="K48" s="290"/>
      <c r="L48" s="271" t="s">
        <v>246</v>
      </c>
      <c r="M48" s="257"/>
      <c r="N48" s="257"/>
      <c r="O48" s="257"/>
      <c r="P48" s="257"/>
      <c r="Q48" s="258"/>
      <c r="R48" s="170"/>
      <c r="S48" s="170"/>
      <c r="T48" s="170"/>
      <c r="U48" s="170"/>
      <c r="V48" s="279"/>
      <c r="BB48" s="168"/>
      <c r="BC48" s="168"/>
    </row>
    <row r="49" spans="1:55" ht="19.5" x14ac:dyDescent="0.25">
      <c r="A49" s="237" t="s">
        <v>57</v>
      </c>
      <c r="B49" s="179"/>
      <c r="C49" s="99" t="s">
        <v>54</v>
      </c>
      <c r="D49" s="100">
        <v>1.05</v>
      </c>
      <c r="E49" s="100">
        <v>1.2</v>
      </c>
      <c r="F49" s="101">
        <v>4</v>
      </c>
      <c r="G49" s="203">
        <f>IF(C49="ON", PI()*(D49/2)^2*F49, 0)</f>
        <v>0</v>
      </c>
      <c r="H49" s="204">
        <f>G49*'Drainage calculator'!$F$21*'Drainage calculator'!$F$20</f>
        <v>0</v>
      </c>
      <c r="I49" s="205">
        <f>IF(C49="ON", PI()*(D49/2)^2*E49*F49, 0)</f>
        <v>0</v>
      </c>
      <c r="J49" s="238">
        <f>IF(C49="ON", IFERROR(-((4.6 * D49) / (4 * F$20)) *LOG10((D49 / 4) / (E49 + (D49 / 4))) / 3600, 0), 0)</f>
        <v>0</v>
      </c>
      <c r="K49" s="290"/>
      <c r="L49" s="271"/>
      <c r="M49" s="257"/>
      <c r="N49" s="257"/>
      <c r="O49" s="257"/>
      <c r="P49" s="257"/>
      <c r="Q49" s="258"/>
      <c r="R49" s="170"/>
      <c r="S49" s="170"/>
      <c r="T49" s="170"/>
      <c r="U49" s="170"/>
      <c r="V49" s="279"/>
      <c r="BB49" s="168"/>
      <c r="BC49" s="168"/>
    </row>
    <row r="50" spans="1:55" ht="19.5" x14ac:dyDescent="0.25">
      <c r="A50" s="239"/>
      <c r="B50" s="179"/>
      <c r="C50" s="173"/>
      <c r="D50" s="173"/>
      <c r="E50" s="173"/>
      <c r="F50" s="206" t="s">
        <v>58</v>
      </c>
      <c r="G50" s="207">
        <f>SUM(G47:G49)</f>
        <v>5.3014376029327757</v>
      </c>
      <c r="H50" s="204">
        <f>SUM(H47:H49)</f>
        <v>5.3014376029327763E-5</v>
      </c>
      <c r="I50" s="207">
        <f>SUM(I47:I49)</f>
        <v>7.9521564043991635</v>
      </c>
      <c r="J50" s="240">
        <f>MAX(J47:J49)</f>
        <v>33.49231270776756</v>
      </c>
      <c r="K50" s="291"/>
      <c r="L50" s="271"/>
      <c r="M50" s="257"/>
      <c r="N50" s="257"/>
      <c r="O50" s="257"/>
      <c r="P50" s="257"/>
      <c r="Q50" s="261"/>
      <c r="R50" s="170"/>
      <c r="S50" s="171"/>
      <c r="T50" s="170"/>
      <c r="U50" s="170"/>
      <c r="V50" s="279"/>
      <c r="BB50" s="168"/>
      <c r="BC50" s="168"/>
    </row>
    <row r="51" spans="1:55" ht="19.5" x14ac:dyDescent="0.25">
      <c r="A51" s="226"/>
      <c r="B51" s="174"/>
      <c r="C51" s="173"/>
      <c r="D51" s="173"/>
      <c r="E51" s="173"/>
      <c r="F51" s="200"/>
      <c r="G51" s="208"/>
      <c r="H51" s="209"/>
      <c r="I51" s="208"/>
      <c r="J51" s="241"/>
      <c r="K51" s="292"/>
      <c r="L51" s="271"/>
      <c r="M51" s="257"/>
      <c r="N51" s="257"/>
      <c r="O51" s="257"/>
      <c r="P51" s="257"/>
      <c r="Q51" s="261"/>
      <c r="R51" s="171"/>
      <c r="S51" s="171"/>
      <c r="T51" s="170"/>
      <c r="U51" s="170"/>
      <c r="V51" s="279"/>
      <c r="AU51" s="169"/>
    </row>
    <row r="52" spans="1:55" ht="19.5" x14ac:dyDescent="0.25">
      <c r="A52" s="337" t="s">
        <v>237</v>
      </c>
      <c r="B52" s="338"/>
      <c r="C52" s="338"/>
      <c r="D52" s="338"/>
      <c r="E52" s="338"/>
      <c r="F52" s="338"/>
      <c r="G52" s="210"/>
      <c r="H52" s="210"/>
      <c r="I52" s="173"/>
      <c r="J52" s="227"/>
      <c r="K52" s="285"/>
      <c r="L52" s="271"/>
      <c r="M52" s="257"/>
      <c r="N52" s="257"/>
      <c r="O52" s="257"/>
      <c r="P52" s="257"/>
      <c r="Q52" s="262"/>
      <c r="R52" s="172"/>
      <c r="S52" s="171"/>
      <c r="T52" s="170"/>
      <c r="U52" s="170"/>
      <c r="V52" s="279"/>
    </row>
    <row r="53" spans="1:55" ht="20.25" hidden="1" x14ac:dyDescent="0.25">
      <c r="A53" s="311" t="s">
        <v>59</v>
      </c>
      <c r="B53" s="312"/>
      <c r="C53" s="312"/>
      <c r="D53" s="312"/>
      <c r="E53" s="312"/>
      <c r="F53" s="312"/>
      <c r="G53" s="312"/>
      <c r="H53" s="320"/>
      <c r="I53" s="320"/>
      <c r="J53" s="321"/>
      <c r="K53" s="293"/>
      <c r="L53" s="271"/>
      <c r="M53" s="257"/>
      <c r="N53" s="257"/>
      <c r="O53" s="257"/>
      <c r="P53" s="257"/>
      <c r="Q53" s="263"/>
      <c r="R53" s="170"/>
      <c r="S53" s="171"/>
      <c r="T53" s="170"/>
      <c r="U53" s="170"/>
      <c r="V53" s="279"/>
    </row>
    <row r="54" spans="1:55" ht="19.5" hidden="1" x14ac:dyDescent="0.25">
      <c r="A54" s="239"/>
      <c r="B54" s="179"/>
      <c r="C54" s="186" t="s">
        <v>60</v>
      </c>
      <c r="D54" s="212"/>
      <c r="E54" s="212"/>
      <c r="F54" s="212"/>
      <c r="G54" s="212"/>
      <c r="H54" s="179"/>
      <c r="I54" s="179"/>
      <c r="J54" s="227"/>
      <c r="K54" s="285"/>
      <c r="L54" s="271"/>
      <c r="M54" s="257"/>
      <c r="N54" s="257"/>
      <c r="O54" s="257"/>
      <c r="P54" s="257"/>
      <c r="Q54" s="261"/>
      <c r="R54" s="171"/>
      <c r="S54" s="171"/>
      <c r="T54" s="170"/>
      <c r="U54" s="170"/>
      <c r="V54" s="279"/>
    </row>
    <row r="55" spans="1:55" ht="57" hidden="1" x14ac:dyDescent="0.25">
      <c r="A55" s="239"/>
      <c r="B55" s="179"/>
      <c r="C55" s="77" t="s">
        <v>45</v>
      </c>
      <c r="D55" s="78" t="s">
        <v>61</v>
      </c>
      <c r="E55" s="78" t="s">
        <v>62</v>
      </c>
      <c r="F55" s="78" t="s">
        <v>63</v>
      </c>
      <c r="G55" s="78" t="s">
        <v>64</v>
      </c>
      <c r="H55" s="79"/>
      <c r="I55" s="179"/>
      <c r="J55" s="227"/>
      <c r="K55" s="285"/>
      <c r="L55" s="271"/>
      <c r="M55" s="257"/>
      <c r="N55" s="257"/>
      <c r="O55" s="257"/>
      <c r="P55" s="257"/>
      <c r="Q55" s="261"/>
      <c r="R55" s="170"/>
      <c r="S55" s="171"/>
      <c r="T55" s="170"/>
      <c r="U55" s="170"/>
      <c r="V55" s="279"/>
    </row>
    <row r="56" spans="1:55" ht="19.5" hidden="1" x14ac:dyDescent="0.25">
      <c r="A56" s="237" t="s">
        <v>53</v>
      </c>
      <c r="B56" s="179"/>
      <c r="C56" s="70" t="s">
        <v>54</v>
      </c>
      <c r="D56" s="80">
        <v>2000</v>
      </c>
      <c r="E56" s="80">
        <v>1000</v>
      </c>
      <c r="F56" s="81">
        <v>1</v>
      </c>
      <c r="G56" s="77">
        <f>IF(C56="ON",E56*F56/1000,0)</f>
        <v>0</v>
      </c>
      <c r="H56" s="79"/>
      <c r="I56" s="179"/>
      <c r="J56" s="227"/>
      <c r="K56" s="285"/>
      <c r="L56" s="271"/>
      <c r="M56" s="257"/>
      <c r="N56" s="257"/>
      <c r="O56" s="257"/>
      <c r="P56" s="257"/>
      <c r="Q56" s="258"/>
      <c r="R56" s="170"/>
      <c r="S56" s="170"/>
      <c r="T56" s="170"/>
      <c r="U56" s="170"/>
      <c r="V56" s="279"/>
    </row>
    <row r="57" spans="1:55" ht="19.5" hidden="1" x14ac:dyDescent="0.25">
      <c r="A57" s="237" t="s">
        <v>55</v>
      </c>
      <c r="B57" s="179"/>
      <c r="C57" s="70" t="s">
        <v>54</v>
      </c>
      <c r="D57" s="80">
        <v>3000</v>
      </c>
      <c r="E57" s="80">
        <v>1000</v>
      </c>
      <c r="F57" s="81">
        <v>4</v>
      </c>
      <c r="G57" s="77">
        <f t="shared" ref="G57:G58" si="0">IF(C57="ON",E57*F57/1000,0)</f>
        <v>0</v>
      </c>
      <c r="H57" s="79"/>
      <c r="I57" s="179"/>
      <c r="J57" s="227"/>
      <c r="K57" s="285"/>
      <c r="L57" s="271"/>
      <c r="M57" s="257"/>
      <c r="N57" s="257"/>
      <c r="O57" s="257"/>
      <c r="P57" s="257"/>
      <c r="Q57" s="258"/>
      <c r="R57" s="170"/>
      <c r="S57" s="170"/>
      <c r="T57" s="170"/>
      <c r="U57" s="170"/>
      <c r="V57" s="279"/>
    </row>
    <row r="58" spans="1:55" ht="19.5" hidden="1" x14ac:dyDescent="0.25">
      <c r="A58" s="237" t="s">
        <v>57</v>
      </c>
      <c r="B58" s="179"/>
      <c r="C58" s="70" t="s">
        <v>54</v>
      </c>
      <c r="D58" s="80">
        <v>5000</v>
      </c>
      <c r="E58" s="80">
        <v>1000</v>
      </c>
      <c r="F58" s="81">
        <v>0</v>
      </c>
      <c r="G58" s="77">
        <f t="shared" si="0"/>
        <v>0</v>
      </c>
      <c r="H58" s="79"/>
      <c r="I58" s="179"/>
      <c r="J58" s="227"/>
      <c r="K58" s="285"/>
      <c r="L58" s="271"/>
      <c r="M58" s="257"/>
      <c r="N58" s="257"/>
      <c r="O58" s="257"/>
      <c r="P58" s="257"/>
      <c r="Q58" s="258"/>
      <c r="R58" s="170"/>
      <c r="S58" s="170"/>
      <c r="T58" s="170"/>
      <c r="U58" s="170"/>
      <c r="V58" s="279"/>
    </row>
    <row r="59" spans="1:55" ht="19.5" hidden="1" x14ac:dyDescent="0.25">
      <c r="A59" s="239"/>
      <c r="B59" s="179"/>
      <c r="C59" s="186"/>
      <c r="D59" s="212"/>
      <c r="E59" s="212"/>
      <c r="F59" s="213" t="s">
        <v>58</v>
      </c>
      <c r="G59" s="82">
        <f>SUM(G56:G58)</f>
        <v>0</v>
      </c>
      <c r="H59" s="79"/>
      <c r="I59" s="179"/>
      <c r="J59" s="227"/>
      <c r="K59" s="285"/>
      <c r="L59" s="271"/>
      <c r="M59" s="257"/>
      <c r="N59" s="257"/>
      <c r="O59" s="257"/>
      <c r="P59" s="257"/>
      <c r="Q59" s="258"/>
      <c r="R59" s="170"/>
      <c r="S59" s="170"/>
      <c r="T59" s="170"/>
      <c r="U59" s="170"/>
      <c r="V59" s="279"/>
    </row>
    <row r="60" spans="1:55" ht="19.5" hidden="1" x14ac:dyDescent="0.25">
      <c r="A60" s="239"/>
      <c r="B60" s="186"/>
      <c r="C60" s="212"/>
      <c r="D60" s="212"/>
      <c r="E60" s="213"/>
      <c r="F60" s="214"/>
      <c r="G60" s="212"/>
      <c r="H60" s="179"/>
      <c r="I60" s="179"/>
      <c r="J60" s="227"/>
      <c r="K60" s="285"/>
      <c r="L60" s="271"/>
      <c r="M60" s="257"/>
      <c r="N60" s="257"/>
      <c r="O60" s="257"/>
      <c r="P60" s="257"/>
      <c r="Q60" s="258"/>
      <c r="R60" s="170"/>
      <c r="S60" s="170"/>
      <c r="T60" s="170"/>
      <c r="U60" s="170"/>
      <c r="V60" s="279"/>
    </row>
    <row r="61" spans="1:55" ht="20.25" hidden="1" x14ac:dyDescent="0.25">
      <c r="A61" s="230" t="s">
        <v>65</v>
      </c>
      <c r="B61" s="215"/>
      <c r="C61" s="211"/>
      <c r="D61" s="211"/>
      <c r="E61" s="216"/>
      <c r="F61" s="217"/>
      <c r="G61" s="211"/>
      <c r="H61" s="218"/>
      <c r="I61" s="219"/>
      <c r="J61" s="242"/>
      <c r="K61" s="286"/>
      <c r="L61" s="271"/>
      <c r="M61" s="257"/>
      <c r="N61" s="257"/>
      <c r="O61" s="257"/>
      <c r="P61" s="257"/>
      <c r="Q61" s="258"/>
      <c r="R61" s="170"/>
      <c r="S61" s="170"/>
      <c r="T61" s="170"/>
      <c r="U61" s="170"/>
      <c r="V61" s="279"/>
    </row>
    <row r="62" spans="1:55" ht="19.5" hidden="1" x14ac:dyDescent="0.25">
      <c r="A62" s="239"/>
      <c r="B62" s="186"/>
      <c r="C62" s="186" t="s">
        <v>66</v>
      </c>
      <c r="D62" s="212"/>
      <c r="E62" s="213"/>
      <c r="F62" s="214"/>
      <c r="G62" s="212"/>
      <c r="H62" s="212"/>
      <c r="I62" s="212"/>
      <c r="J62" s="243"/>
      <c r="K62" s="293"/>
      <c r="L62" s="271"/>
      <c r="M62" s="257"/>
      <c r="N62" s="257"/>
      <c r="O62" s="257"/>
      <c r="P62" s="257"/>
      <c r="Q62" s="258"/>
      <c r="R62" s="170"/>
      <c r="S62" s="170"/>
      <c r="T62" s="170"/>
      <c r="U62" s="170"/>
      <c r="V62" s="279"/>
    </row>
    <row r="63" spans="1:55" ht="42.75" hidden="1" x14ac:dyDescent="0.25">
      <c r="A63" s="239" t="s">
        <v>67</v>
      </c>
      <c r="B63" s="186"/>
      <c r="C63" s="339" t="str">
        <f>IF(
    OR(
        AND(OR(F$19="SANDY CLAY", F$19="MEDIUM CLAY", F$19="HEAVY CLAY", AND(F$19="CUSTOM", F$20&gt;0.5)), F$13="YES"),
        AND(F$19="SAND", F$13="YES", F$12="NO")
    ),
    "ON",
    "OFF"
)</f>
        <v>OFF</v>
      </c>
      <c r="D63" s="83" t="s">
        <v>68</v>
      </c>
      <c r="E63" s="84" t="s">
        <v>69</v>
      </c>
      <c r="F63" s="78" t="s">
        <v>70</v>
      </c>
      <c r="G63" s="78" t="s">
        <v>71</v>
      </c>
      <c r="H63" s="78" t="s">
        <v>72</v>
      </c>
      <c r="I63" s="78" t="s">
        <v>73</v>
      </c>
      <c r="J63" s="244" t="s">
        <v>74</v>
      </c>
      <c r="K63" s="294"/>
      <c r="L63" s="271"/>
      <c r="M63" s="257"/>
      <c r="N63" s="257"/>
      <c r="O63" s="257"/>
      <c r="P63" s="257"/>
      <c r="Q63" s="258"/>
      <c r="R63" s="170"/>
      <c r="S63" s="170"/>
      <c r="T63" s="170"/>
      <c r="U63" s="170"/>
      <c r="V63" s="279"/>
    </row>
    <row r="64" spans="1:55" ht="29.45" hidden="1" customHeight="1" thickBot="1" x14ac:dyDescent="0.3">
      <c r="A64" s="232"/>
      <c r="B64" s="186"/>
      <c r="C64" s="340"/>
      <c r="D64" s="85">
        <v>600</v>
      </c>
      <c r="E64" s="86">
        <v>600</v>
      </c>
      <c r="F64" s="70">
        <v>300</v>
      </c>
      <c r="G64" s="87">
        <f>IF(C$63="ON", D$64*E$64*I$64/1000000, 0)</f>
        <v>0</v>
      </c>
      <c r="H64" s="88">
        <f>C$67</f>
        <v>0</v>
      </c>
      <c r="I64" s="89">
        <v>0.4</v>
      </c>
      <c r="J64" s="245">
        <v>0.61</v>
      </c>
      <c r="K64" s="295"/>
      <c r="L64" s="271"/>
      <c r="M64" s="257"/>
      <c r="N64" s="257"/>
      <c r="O64" s="257"/>
      <c r="P64" s="257"/>
      <c r="Q64" s="258"/>
      <c r="R64" s="170"/>
      <c r="S64" s="170"/>
      <c r="T64" s="170"/>
      <c r="U64" s="170"/>
      <c r="V64" s="279"/>
    </row>
    <row r="65" spans="1:53" ht="25.9" hidden="1" customHeight="1" thickBot="1" x14ac:dyDescent="0.3">
      <c r="A65" s="226" t="s">
        <v>75</v>
      </c>
      <c r="B65" s="179"/>
      <c r="C65" s="90">
        <v>5</v>
      </c>
      <c r="D65" s="174"/>
      <c r="E65" s="179"/>
      <c r="F65" s="179"/>
      <c r="G65" s="212"/>
      <c r="H65" s="173"/>
      <c r="I65" s="173" t="s">
        <v>76</v>
      </c>
      <c r="J65" s="246">
        <f>IF(C$63="ON", FLOOR(SQRT(4*(H64/1000)/(PI()*J64*SQRT(2*9.81*I64)))*1000,1), 0)</f>
        <v>0</v>
      </c>
      <c r="K65" s="296"/>
      <c r="L65" s="271"/>
      <c r="M65" s="257"/>
      <c r="N65" s="257"/>
      <c r="O65" s="257"/>
      <c r="P65" s="257"/>
      <c r="Q65" s="258"/>
      <c r="R65" s="170"/>
      <c r="S65" s="170"/>
      <c r="T65" s="170"/>
      <c r="U65" s="170"/>
      <c r="V65" s="279"/>
    </row>
    <row r="66" spans="1:53" ht="27" hidden="1" customHeight="1" thickBot="1" x14ac:dyDescent="0.25">
      <c r="A66" s="226" t="s">
        <v>77</v>
      </c>
      <c r="B66" s="179"/>
      <c r="C66" s="91">
        <v>10</v>
      </c>
      <c r="D66" s="174"/>
      <c r="E66" s="213"/>
      <c r="F66" s="214"/>
      <c r="G66" s="212"/>
      <c r="H66" s="179"/>
      <c r="I66" s="179"/>
      <c r="J66" s="227"/>
      <c r="K66" s="285"/>
      <c r="L66" s="271"/>
      <c r="M66" s="257"/>
      <c r="N66" s="257"/>
      <c r="O66" s="257"/>
      <c r="P66" s="257"/>
      <c r="Q66" s="258"/>
      <c r="R66" s="170"/>
      <c r="S66" s="170"/>
      <c r="T66" s="170"/>
      <c r="U66" s="170"/>
      <c r="V66" s="279"/>
    </row>
    <row r="67" spans="1:53" ht="24.6" hidden="1" customHeight="1" x14ac:dyDescent="0.25">
      <c r="A67" s="226" t="s">
        <v>78</v>
      </c>
      <c r="B67" s="179"/>
      <c r="C67" s="92">
        <f>IF(C$63="ON", 'OSD Mass-Curve'!B4, 0)</f>
        <v>0</v>
      </c>
      <c r="D67" s="174" t="s">
        <v>79</v>
      </c>
      <c r="E67" s="213"/>
      <c r="F67" s="214"/>
      <c r="G67" s="212"/>
      <c r="H67" s="93" t="s">
        <v>80</v>
      </c>
      <c r="I67" s="94"/>
      <c r="J67" s="247"/>
      <c r="K67" s="281"/>
      <c r="L67" s="271"/>
      <c r="M67" s="257"/>
      <c r="N67" s="257"/>
      <c r="O67" s="257"/>
      <c r="P67" s="257"/>
      <c r="Q67" s="258"/>
      <c r="R67" s="170"/>
      <c r="S67" s="170"/>
      <c r="T67" s="170"/>
      <c r="U67" s="170"/>
      <c r="V67" s="279"/>
    </row>
    <row r="68" spans="1:53" ht="24" hidden="1" customHeight="1" x14ac:dyDescent="0.25">
      <c r="A68" s="226" t="s">
        <v>81</v>
      </c>
      <c r="B68" s="179"/>
      <c r="C68" s="92">
        <f>IF(C$63="ON", 'OSD Mass-Curve'!O5, 0)</f>
        <v>0</v>
      </c>
      <c r="D68" s="174" t="s">
        <v>43</v>
      </c>
      <c r="E68" s="213"/>
      <c r="F68" s="214"/>
      <c r="G68" s="212"/>
      <c r="H68" s="95" t="s">
        <v>82</v>
      </c>
      <c r="I68" s="198"/>
      <c r="J68" s="248"/>
      <c r="K68" s="281"/>
      <c r="L68" s="271"/>
      <c r="M68" s="257"/>
      <c r="N68" s="257"/>
      <c r="O68" s="257"/>
      <c r="P68" s="257"/>
      <c r="Q68" s="258"/>
      <c r="R68" s="170"/>
      <c r="S68" s="170"/>
      <c r="T68" s="170"/>
      <c r="U68" s="170"/>
      <c r="V68" s="279"/>
    </row>
    <row r="69" spans="1:53" ht="20.25" hidden="1" thickBot="1" x14ac:dyDescent="0.3">
      <c r="A69" s="239"/>
      <c r="B69" s="186"/>
      <c r="C69" s="212"/>
      <c r="D69" s="212"/>
      <c r="E69" s="212"/>
      <c r="F69" s="212"/>
      <c r="G69" s="212"/>
      <c r="H69" s="67" t="s">
        <v>83</v>
      </c>
      <c r="I69" s="96"/>
      <c r="J69" s="249"/>
      <c r="K69" s="281"/>
      <c r="L69" s="271"/>
      <c r="M69" s="257"/>
      <c r="N69" s="257"/>
      <c r="O69" s="257"/>
      <c r="P69" s="257"/>
      <c r="Q69" s="258"/>
      <c r="R69" s="170"/>
      <c r="S69" s="170"/>
      <c r="T69" s="170"/>
      <c r="U69" s="170"/>
      <c r="V69" s="279"/>
    </row>
    <row r="70" spans="1:53" ht="19.5" hidden="1" x14ac:dyDescent="0.25">
      <c r="A70" s="239"/>
      <c r="B70" s="186"/>
      <c r="C70" s="212"/>
      <c r="D70" s="212"/>
      <c r="E70" s="212"/>
      <c r="F70" s="212"/>
      <c r="G70" s="212"/>
      <c r="H70" s="182"/>
      <c r="I70" s="173"/>
      <c r="J70" s="233"/>
      <c r="K70" s="286"/>
      <c r="L70" s="271"/>
      <c r="M70" s="257"/>
      <c r="N70" s="257"/>
      <c r="O70" s="257"/>
      <c r="P70" s="257"/>
      <c r="Q70" s="258"/>
      <c r="R70" s="170"/>
      <c r="S70" s="170"/>
      <c r="T70" s="170"/>
      <c r="U70" s="170"/>
      <c r="V70" s="279"/>
    </row>
    <row r="71" spans="1:53" ht="21" thickBot="1" x14ac:dyDescent="0.3">
      <c r="A71" s="328" t="s">
        <v>240</v>
      </c>
      <c r="B71" s="329"/>
      <c r="C71" s="329"/>
      <c r="D71" s="329"/>
      <c r="E71" s="329"/>
      <c r="F71" s="329"/>
      <c r="G71" s="329"/>
      <c r="H71" s="329"/>
      <c r="I71" s="329"/>
      <c r="J71" s="330"/>
      <c r="K71" s="282"/>
      <c r="L71" s="271" t="s">
        <v>249</v>
      </c>
      <c r="M71" s="257"/>
      <c r="N71" s="257"/>
      <c r="O71" s="257"/>
      <c r="P71" s="257"/>
      <c r="Q71" s="258"/>
      <c r="R71" s="170"/>
      <c r="S71" s="170"/>
      <c r="T71" s="170"/>
      <c r="U71" s="170"/>
      <c r="V71" s="279"/>
    </row>
    <row r="72" spans="1:53" ht="20.25" hidden="1" thickBot="1" x14ac:dyDescent="0.3">
      <c r="A72" s="231"/>
      <c r="B72" s="173"/>
      <c r="C72" s="173"/>
      <c r="D72" s="173"/>
      <c r="E72" s="173"/>
      <c r="F72" s="173"/>
      <c r="G72" s="173"/>
      <c r="H72" s="173"/>
      <c r="I72" s="173"/>
      <c r="J72" s="227"/>
      <c r="K72" s="285"/>
      <c r="L72" s="271"/>
      <c r="M72" s="257"/>
      <c r="N72" s="257"/>
      <c r="O72" s="257"/>
      <c r="P72" s="257"/>
      <c r="Q72" s="258"/>
      <c r="R72" s="170"/>
      <c r="S72" s="170"/>
      <c r="T72" s="170"/>
      <c r="U72" s="170"/>
      <c r="V72" s="279"/>
    </row>
    <row r="73" spans="1:53" ht="20.25" hidden="1" thickBot="1" x14ac:dyDescent="0.3">
      <c r="A73" s="228" t="s">
        <v>84</v>
      </c>
      <c r="B73" s="189"/>
      <c r="C73" s="198"/>
      <c r="D73" s="198"/>
      <c r="E73" s="198"/>
      <c r="F73" s="220">
        <f>I$50</f>
        <v>7.9521564043991635</v>
      </c>
      <c r="G73" s="221" t="s">
        <v>43</v>
      </c>
      <c r="H73" s="198"/>
      <c r="I73" s="198"/>
      <c r="J73" s="227"/>
      <c r="K73" s="285"/>
      <c r="L73" s="271"/>
      <c r="M73" s="257"/>
      <c r="N73" s="257"/>
      <c r="O73" s="257"/>
      <c r="P73" s="257"/>
      <c r="Q73" s="258"/>
      <c r="R73" s="170"/>
      <c r="S73" s="170"/>
      <c r="T73" s="170"/>
      <c r="U73" s="170"/>
      <c r="V73" s="279"/>
      <c r="AV73" s="134"/>
      <c r="AW73" s="134"/>
      <c r="AX73" s="134"/>
      <c r="AY73" s="134" t="s">
        <v>85</v>
      </c>
      <c r="AZ73" s="134"/>
      <c r="BA73" s="134"/>
    </row>
    <row r="74" spans="1:53" ht="20.25" hidden="1" thickBot="1" x14ac:dyDescent="0.3">
      <c r="A74" s="232" t="s">
        <v>86</v>
      </c>
      <c r="B74" s="179"/>
      <c r="C74" s="179"/>
      <c r="D74" s="179"/>
      <c r="E74" s="179"/>
      <c r="F74" s="220">
        <f>G$59</f>
        <v>0</v>
      </c>
      <c r="G74" s="221" t="s">
        <v>43</v>
      </c>
      <c r="H74" s="179"/>
      <c r="I74" s="179"/>
      <c r="J74" s="227"/>
      <c r="K74" s="285"/>
      <c r="L74" s="271"/>
      <c r="M74" s="257"/>
      <c r="N74" s="257"/>
      <c r="O74" s="257"/>
      <c r="P74" s="257"/>
      <c r="Q74" s="258"/>
      <c r="R74" s="170"/>
      <c r="S74" s="170"/>
      <c r="T74" s="170"/>
      <c r="U74" s="170"/>
      <c r="V74" s="279"/>
    </row>
    <row r="75" spans="1:53" ht="20.25" hidden="1" thickBot="1" x14ac:dyDescent="0.3">
      <c r="A75" s="232" t="s">
        <v>87</v>
      </c>
      <c r="B75" s="179"/>
      <c r="C75" s="179"/>
      <c r="D75" s="179"/>
      <c r="E75" s="179"/>
      <c r="F75" s="222">
        <f>G$64</f>
        <v>0</v>
      </c>
      <c r="G75" s="221" t="s">
        <v>43</v>
      </c>
      <c r="H75" s="179"/>
      <c r="I75" s="179"/>
      <c r="J75" s="227"/>
      <c r="K75" s="285"/>
      <c r="L75" s="271"/>
      <c r="M75" s="257"/>
      <c r="N75" s="257"/>
      <c r="O75" s="257"/>
      <c r="P75" s="257"/>
      <c r="Q75" s="258"/>
      <c r="R75" s="170"/>
      <c r="S75" s="170"/>
      <c r="T75" s="170"/>
      <c r="U75" s="170"/>
      <c r="V75" s="279"/>
    </row>
    <row r="76" spans="1:53" ht="20.25" thickBot="1" x14ac:dyDescent="0.3">
      <c r="A76" s="250" t="s">
        <v>88</v>
      </c>
      <c r="B76" s="179"/>
      <c r="C76" s="179"/>
      <c r="D76" s="179"/>
      <c r="E76" s="179"/>
      <c r="F76" s="97">
        <f>SUM(F73:F75)</f>
        <v>7.9521564043991635</v>
      </c>
      <c r="G76" s="221" t="s">
        <v>43</v>
      </c>
      <c r="H76" s="179"/>
      <c r="I76" s="179"/>
      <c r="J76" s="227"/>
      <c r="K76" s="285"/>
      <c r="L76" s="271" t="s">
        <v>251</v>
      </c>
      <c r="M76" s="257"/>
      <c r="N76" s="257"/>
      <c r="O76" s="257"/>
      <c r="P76" s="257"/>
      <c r="Q76" s="258"/>
      <c r="R76" s="170"/>
      <c r="S76" s="170"/>
      <c r="T76" s="170"/>
      <c r="U76" s="170"/>
      <c r="V76" s="279"/>
    </row>
    <row r="77" spans="1:53" ht="20.25" thickBot="1" x14ac:dyDescent="0.3">
      <c r="A77" s="232"/>
      <c r="B77" s="179"/>
      <c r="C77" s="179"/>
      <c r="D77" s="179"/>
      <c r="E77" s="179"/>
      <c r="F77" s="221"/>
      <c r="G77" s="221"/>
      <c r="H77" s="179"/>
      <c r="I77" s="179"/>
      <c r="J77" s="227"/>
      <c r="K77" s="285"/>
      <c r="L77" s="271" t="s">
        <v>252</v>
      </c>
      <c r="M77" s="257"/>
      <c r="N77" s="257"/>
      <c r="O77" s="257"/>
      <c r="P77" s="257"/>
      <c r="Q77" s="258"/>
      <c r="R77" s="170"/>
      <c r="S77" s="170"/>
      <c r="T77" s="170"/>
      <c r="U77" s="170"/>
      <c r="V77" s="279"/>
    </row>
    <row r="78" spans="1:53" ht="20.25" x14ac:dyDescent="0.25">
      <c r="A78" s="307" t="s">
        <v>241</v>
      </c>
      <c r="B78" s="308"/>
      <c r="C78" s="308"/>
      <c r="D78" s="308"/>
      <c r="E78" s="308"/>
      <c r="F78" s="308"/>
      <c r="G78" s="308"/>
      <c r="H78" s="308"/>
      <c r="I78" s="308"/>
      <c r="J78" s="309"/>
      <c r="K78" s="282"/>
      <c r="L78" s="271"/>
      <c r="M78" s="257"/>
      <c r="N78" s="257"/>
      <c r="O78" s="257"/>
      <c r="P78" s="257"/>
      <c r="Q78" s="258"/>
      <c r="R78" s="170"/>
      <c r="S78" s="170"/>
      <c r="T78" s="170"/>
      <c r="U78" s="170"/>
      <c r="V78" s="279"/>
    </row>
    <row r="79" spans="1:53" ht="19.5" hidden="1" x14ac:dyDescent="0.25">
      <c r="A79" s="231"/>
      <c r="B79" s="173"/>
      <c r="C79" s="173"/>
      <c r="D79" s="173"/>
      <c r="E79" s="173"/>
      <c r="F79" s="173"/>
      <c r="G79" s="173"/>
      <c r="H79" s="173"/>
      <c r="I79" s="173"/>
      <c r="J79" s="227"/>
      <c r="K79" s="285"/>
      <c r="L79" s="271"/>
      <c r="M79" s="257"/>
      <c r="N79" s="257"/>
      <c r="O79" s="257"/>
      <c r="P79" s="257"/>
      <c r="Q79" s="258"/>
      <c r="R79" s="170"/>
      <c r="S79" s="170"/>
      <c r="T79" s="170"/>
      <c r="U79" s="170"/>
      <c r="V79" s="279"/>
    </row>
    <row r="80" spans="1:53" ht="24" hidden="1" customHeight="1" thickBot="1" x14ac:dyDescent="0.25">
      <c r="A80" s="305" t="str">
        <f>"Storage Volume Required, " &amp; F$37 &amp; " Minutes Duration"</f>
        <v>Storage Volume Required, 60 Minutes Duration</v>
      </c>
      <c r="B80" s="306"/>
      <c r="C80" s="306"/>
      <c r="D80" s="306"/>
      <c r="E80" s="212"/>
      <c r="F80" s="297">
        <f>IF(F$25=2,'Output-Analysis '!I$37,IF(F$25=20,'Output-Analysis '!I$74,IF(F$25=100,'Output-Analysis '!I$111)))</f>
        <v>7.3331744962944203</v>
      </c>
      <c r="G80" s="174" t="s">
        <v>43</v>
      </c>
      <c r="H80" s="174"/>
      <c r="I80" s="174"/>
      <c r="J80" s="227"/>
      <c r="K80" s="285"/>
      <c r="L80" s="271"/>
      <c r="M80" s="257"/>
      <c r="N80" s="257"/>
      <c r="O80" s="257"/>
      <c r="P80" s="257"/>
      <c r="Q80" s="258"/>
      <c r="R80" s="170"/>
      <c r="S80" s="170"/>
      <c r="T80" s="170"/>
      <c r="U80" s="170"/>
      <c r="V80" s="279"/>
    </row>
    <row r="81" spans="1:22" ht="22.5" hidden="1" customHeight="1" thickBot="1" x14ac:dyDescent="0.25">
      <c r="A81" s="305" t="s">
        <v>89</v>
      </c>
      <c r="B81" s="306"/>
      <c r="C81" s="306"/>
      <c r="D81" s="174"/>
      <c r="E81" s="174"/>
      <c r="F81" s="297">
        <f>C68</f>
        <v>0</v>
      </c>
      <c r="G81" s="174" t="s">
        <v>43</v>
      </c>
      <c r="H81" s="174"/>
      <c r="I81" s="174"/>
      <c r="J81" s="227"/>
      <c r="K81" s="285"/>
      <c r="L81" s="271"/>
      <c r="M81" s="257"/>
      <c r="N81" s="257"/>
      <c r="O81" s="257"/>
      <c r="P81" s="257"/>
      <c r="Q81" s="258"/>
      <c r="R81" s="170"/>
      <c r="S81" s="170"/>
      <c r="T81" s="170"/>
      <c r="U81" s="170"/>
      <c r="V81" s="279"/>
    </row>
    <row r="82" spans="1:22" ht="24" customHeight="1" thickBot="1" x14ac:dyDescent="0.3">
      <c r="A82" s="251" t="s">
        <v>90</v>
      </c>
      <c r="B82" s="252"/>
      <c r="C82" s="252"/>
      <c r="D82" s="252"/>
      <c r="E82" s="252"/>
      <c r="F82" s="298">
        <f>MAX(F80:F81)</f>
        <v>7.3331744962944203</v>
      </c>
      <c r="G82" s="299" t="s">
        <v>43</v>
      </c>
      <c r="H82" s="253"/>
      <c r="I82" s="252"/>
      <c r="J82" s="254"/>
      <c r="K82" s="285"/>
      <c r="L82" s="274" t="s">
        <v>248</v>
      </c>
      <c r="M82" s="275"/>
      <c r="N82" s="275"/>
      <c r="O82" s="275"/>
      <c r="P82" s="275"/>
      <c r="Q82" s="276"/>
      <c r="R82" s="277"/>
      <c r="S82" s="277"/>
      <c r="T82" s="277"/>
      <c r="U82" s="277"/>
      <c r="V82" s="280"/>
    </row>
    <row r="83" spans="1:22" hidden="1" x14ac:dyDescent="0.25">
      <c r="A83" s="145"/>
      <c r="B83" s="146"/>
      <c r="C83" s="146"/>
      <c r="D83" s="146"/>
      <c r="E83" s="146"/>
      <c r="F83" s="146"/>
      <c r="G83" s="146"/>
      <c r="H83" s="146"/>
      <c r="I83" s="146"/>
      <c r="J83" s="147"/>
      <c r="K83" s="147"/>
      <c r="L83" s="147"/>
      <c r="M83" s="147"/>
      <c r="N83" s="147"/>
      <c r="O83" s="147"/>
      <c r="P83" s="147"/>
    </row>
    <row r="84" spans="1:22" hidden="1" x14ac:dyDescent="0.25">
      <c r="A84" s="146" t="s">
        <v>91</v>
      </c>
      <c r="B84" s="146"/>
      <c r="C84" s="146"/>
      <c r="D84" s="146"/>
      <c r="E84" s="146"/>
      <c r="F84" s="148">
        <f>IF(F$25=2,'Output-Analysis '!I$33,IF(F$25=20,'Output-Analysis '!I$70,IF(F$25=100,'Output-Analysis '!I$107)))</f>
        <v>18.882342406599118</v>
      </c>
      <c r="G84" s="146" t="s">
        <v>43</v>
      </c>
      <c r="H84" s="146"/>
      <c r="I84" s="146"/>
      <c r="J84" s="147"/>
      <c r="K84" s="147"/>
      <c r="L84" s="147"/>
      <c r="M84" s="147"/>
      <c r="N84" s="147"/>
      <c r="O84" s="147"/>
      <c r="P84" s="147"/>
    </row>
    <row r="85" spans="1:22" hidden="1" x14ac:dyDescent="0.25">
      <c r="A85" s="149" t="s">
        <v>92</v>
      </c>
      <c r="B85" s="149"/>
      <c r="C85" s="146"/>
      <c r="D85" s="146"/>
      <c r="E85" s="146"/>
      <c r="F85" s="150" t="str">
        <f>IF(F$25=2,'Output-Analysis '!I$34,IF(F25=20,'Output-Analysis '!I71,IF(F25=100,'Output-Analysis '!I108)))</f>
        <v>36 hour</v>
      </c>
      <c r="G85" s="146"/>
      <c r="H85" s="146"/>
      <c r="I85" s="146"/>
      <c r="J85" s="147"/>
      <c r="K85" s="147"/>
      <c r="L85" s="147"/>
      <c r="M85" s="147"/>
      <c r="N85" s="147"/>
      <c r="O85" s="147"/>
      <c r="P85" s="147"/>
    </row>
    <row r="86" spans="1:22" hidden="1" x14ac:dyDescent="0.25">
      <c r="A86" s="151" t="s">
        <v>93</v>
      </c>
      <c r="B86" s="151"/>
      <c r="C86" s="146"/>
      <c r="D86" s="146"/>
      <c r="E86" s="146"/>
      <c r="F86" s="148">
        <f>IF(F$25=2,'Output-Analysis '!I$35,IF(F25=20,'Output-Analysis '!I72,IF(F25=100,'Output-Analysis '!I109)))</f>
        <v>3.09</v>
      </c>
      <c r="G86" s="146" t="s">
        <v>28</v>
      </c>
      <c r="H86" s="146"/>
      <c r="I86" s="146"/>
      <c r="J86" s="147"/>
      <c r="K86" s="147"/>
      <c r="L86" s="147"/>
      <c r="M86" s="147"/>
      <c r="N86" s="147"/>
      <c r="O86" s="147"/>
      <c r="P86" s="147"/>
    </row>
    <row r="87" spans="1:22" hidden="1" x14ac:dyDescent="0.25">
      <c r="A87" s="151" t="s">
        <v>94</v>
      </c>
      <c r="B87" s="151"/>
      <c r="C87" s="152"/>
      <c r="D87" s="152"/>
      <c r="E87" s="152"/>
      <c r="F87" s="153">
        <f>IF(F$25=2,'Output-Analysis '!I$36,IF(F25=20,'Output-Analysis '!I73,IF(F25=100,'Output-Analysis '!I110)))</f>
        <v>0.19871146249999999</v>
      </c>
      <c r="G87" s="154" t="s">
        <v>95</v>
      </c>
      <c r="H87" s="152"/>
      <c r="I87" s="152"/>
      <c r="J87" s="147"/>
      <c r="K87" s="147"/>
      <c r="L87" s="147"/>
      <c r="M87" s="147"/>
      <c r="N87" s="147"/>
      <c r="O87" s="147"/>
      <c r="P87" s="147"/>
    </row>
    <row r="88" spans="1:22" hidden="1" x14ac:dyDescent="0.25">
      <c r="A88" s="151" t="s">
        <v>96</v>
      </c>
      <c r="B88" s="151"/>
      <c r="C88" s="152"/>
      <c r="D88" s="152"/>
      <c r="E88" s="152"/>
      <c r="F88" s="155">
        <f>J$50</f>
        <v>33.49231270776756</v>
      </c>
      <c r="G88" s="154" t="s">
        <v>97</v>
      </c>
      <c r="H88" s="152"/>
      <c r="I88" s="152"/>
      <c r="J88" s="147"/>
      <c r="K88" s="147"/>
      <c r="L88" s="147"/>
      <c r="M88" s="147"/>
      <c r="N88" s="147"/>
      <c r="O88" s="147"/>
      <c r="P88" s="147"/>
    </row>
    <row r="89" spans="1:22" ht="20.25" hidden="1" x14ac:dyDescent="0.25">
      <c r="A89" s="310" t="s">
        <v>98</v>
      </c>
      <c r="B89" s="310"/>
      <c r="C89" s="310"/>
      <c r="D89" s="310"/>
      <c r="E89" s="310"/>
      <c r="F89" s="310"/>
      <c r="G89" s="310"/>
      <c r="H89" s="310"/>
      <c r="I89" s="310"/>
      <c r="J89" s="310"/>
      <c r="K89" s="156"/>
      <c r="L89" s="147"/>
      <c r="M89" s="147"/>
      <c r="N89" s="147"/>
      <c r="O89" s="147"/>
      <c r="P89" s="147"/>
    </row>
    <row r="90" spans="1:22" hidden="1" x14ac:dyDescent="0.25">
      <c r="A90" s="157"/>
      <c r="B90" s="157"/>
      <c r="C90" s="157"/>
      <c r="D90" s="157"/>
      <c r="E90" s="157"/>
      <c r="F90" s="157"/>
      <c r="G90" s="157"/>
      <c r="H90" s="157"/>
      <c r="I90" s="157"/>
      <c r="J90" s="147"/>
      <c r="K90" s="147"/>
      <c r="L90" s="147"/>
      <c r="M90" s="147"/>
      <c r="N90" s="147"/>
      <c r="O90" s="147"/>
      <c r="P90" s="147"/>
    </row>
    <row r="91" spans="1:22" hidden="1" x14ac:dyDescent="0.25">
      <c r="A91" s="146" t="s">
        <v>99</v>
      </c>
      <c r="B91" s="146"/>
      <c r="C91" s="157"/>
      <c r="D91" s="157"/>
      <c r="E91" s="157"/>
      <c r="F91" s="158">
        <f>J50</f>
        <v>33.49231270776756</v>
      </c>
      <c r="G91" s="146" t="s">
        <v>100</v>
      </c>
      <c r="H91" s="304" t="s">
        <v>101</v>
      </c>
      <c r="I91" s="304"/>
      <c r="J91" s="147"/>
      <c r="K91" s="147"/>
      <c r="L91" s="147"/>
      <c r="M91" s="147"/>
      <c r="N91" s="147"/>
      <c r="O91" s="147"/>
      <c r="P91" s="147"/>
    </row>
    <row r="92" spans="1:22" hidden="1" x14ac:dyDescent="0.25">
      <c r="A92" s="157"/>
      <c r="B92" s="157"/>
      <c r="C92" s="157"/>
      <c r="D92" s="157"/>
      <c r="E92" s="157"/>
      <c r="F92" s="159">
        <f>F$91/24</f>
        <v>1.3955130294903151</v>
      </c>
      <c r="G92" s="154" t="s">
        <v>102</v>
      </c>
      <c r="H92" s="160" t="s">
        <v>103</v>
      </c>
      <c r="I92" s="161">
        <v>1</v>
      </c>
      <c r="J92" s="147" t="s">
        <v>104</v>
      </c>
      <c r="K92" s="147"/>
      <c r="L92" s="147"/>
      <c r="M92" s="147"/>
      <c r="N92" s="147"/>
      <c r="O92" s="147"/>
      <c r="P92" s="147"/>
    </row>
    <row r="93" spans="1:22" hidden="1" x14ac:dyDescent="0.25">
      <c r="A93" s="162"/>
      <c r="B93" s="162"/>
      <c r="C93" s="152"/>
      <c r="D93" s="152"/>
      <c r="E93" s="152"/>
      <c r="F93" s="152"/>
      <c r="G93" s="147"/>
      <c r="H93" s="160" t="s">
        <v>105</v>
      </c>
      <c r="I93" s="161">
        <v>2.5</v>
      </c>
      <c r="J93" s="147" t="s">
        <v>104</v>
      </c>
      <c r="K93" s="147"/>
      <c r="L93" s="147"/>
      <c r="M93" s="147"/>
      <c r="N93" s="147"/>
      <c r="O93" s="147"/>
      <c r="P93" s="147"/>
    </row>
    <row r="94" spans="1:22" hidden="1" x14ac:dyDescent="0.25">
      <c r="A94" s="162"/>
      <c r="B94" s="162"/>
      <c r="C94" s="152"/>
      <c r="D94" s="152"/>
      <c r="E94" s="152"/>
      <c r="F94" s="152"/>
      <c r="G94" s="152"/>
      <c r="H94" s="160" t="s">
        <v>106</v>
      </c>
      <c r="I94" s="161">
        <v>3.5</v>
      </c>
      <c r="J94" s="147" t="s">
        <v>104</v>
      </c>
      <c r="K94" s="147"/>
      <c r="L94" s="147"/>
      <c r="M94" s="147"/>
      <c r="N94" s="147"/>
      <c r="O94" s="147"/>
      <c r="P94" s="147"/>
    </row>
    <row r="95" spans="1:22" hidden="1" x14ac:dyDescent="0.25">
      <c r="A95" s="162"/>
      <c r="B95" s="162"/>
      <c r="C95" s="152"/>
      <c r="D95" s="152"/>
      <c r="E95" s="152"/>
      <c r="F95" s="152"/>
      <c r="G95" s="152"/>
      <c r="H95" s="152"/>
      <c r="I95" s="152"/>
      <c r="J95" s="147"/>
      <c r="K95" s="147"/>
      <c r="L95" s="147"/>
      <c r="M95" s="147"/>
      <c r="N95" s="147"/>
      <c r="O95" s="147"/>
      <c r="P95" s="147"/>
    </row>
    <row r="96" spans="1:22" hidden="1" x14ac:dyDescent="0.25">
      <c r="A96" s="149"/>
      <c r="B96" s="149"/>
      <c r="C96" s="147"/>
      <c r="D96" s="147"/>
      <c r="E96" s="147"/>
      <c r="F96" s="163"/>
      <c r="G96" s="147"/>
      <c r="H96" s="147"/>
      <c r="I96" s="147"/>
      <c r="J96" s="147"/>
      <c r="K96" s="147"/>
      <c r="L96" s="147"/>
      <c r="M96" s="147"/>
      <c r="N96" s="147"/>
      <c r="O96" s="147"/>
      <c r="P96" s="147"/>
    </row>
    <row r="97" spans="1:16" ht="15.75" thickTop="1" x14ac:dyDescent="0.25">
      <c r="A97" s="151"/>
      <c r="B97" s="151"/>
      <c r="C97" s="160"/>
      <c r="D97" s="160"/>
      <c r="E97" s="164"/>
      <c r="F97" s="160"/>
      <c r="G97" s="160"/>
      <c r="H97" s="160"/>
      <c r="I97" s="160"/>
      <c r="J97" s="147"/>
      <c r="K97" s="147"/>
      <c r="L97" s="147"/>
      <c r="M97" s="147"/>
      <c r="N97" s="147"/>
      <c r="O97" s="147"/>
      <c r="P97" s="147"/>
    </row>
    <row r="98" spans="1:16" x14ac:dyDescent="0.25">
      <c r="A98" s="142"/>
      <c r="B98" s="142"/>
      <c r="C98" s="143"/>
      <c r="D98" s="143"/>
      <c r="E98" s="143"/>
      <c r="F98" s="143"/>
      <c r="G98" s="143"/>
      <c r="H98" s="143"/>
      <c r="I98" s="143"/>
    </row>
    <row r="99" spans="1:16" x14ac:dyDescent="0.25">
      <c r="A99" s="134"/>
      <c r="B99" s="134"/>
      <c r="C99" s="134"/>
      <c r="D99" s="134"/>
      <c r="E99" s="134"/>
      <c r="F99" s="134"/>
      <c r="G99" s="134"/>
      <c r="H99" s="134"/>
      <c r="I99" s="134"/>
    </row>
    <row r="100" spans="1:16" x14ac:dyDescent="0.25">
      <c r="A100" s="136"/>
      <c r="B100" s="136"/>
      <c r="C100" s="136"/>
      <c r="D100" s="136"/>
      <c r="E100" s="136"/>
      <c r="F100" s="137"/>
      <c r="G100" s="136"/>
      <c r="H100" s="136"/>
      <c r="I100" s="136"/>
    </row>
    <row r="101" spans="1:16" x14ac:dyDescent="0.25">
      <c r="A101" s="138"/>
      <c r="B101" s="138"/>
      <c r="F101" s="139"/>
    </row>
    <row r="102" spans="1:16" x14ac:dyDescent="0.25">
      <c r="A102" s="138"/>
      <c r="B102" s="138"/>
      <c r="F102" s="139"/>
    </row>
    <row r="103" spans="1:16" x14ac:dyDescent="0.25">
      <c r="A103" s="140"/>
      <c r="B103" s="140"/>
      <c r="C103" s="141"/>
      <c r="D103" s="141"/>
      <c r="E103" s="141"/>
      <c r="F103" s="141"/>
      <c r="G103" s="141"/>
      <c r="H103" s="141"/>
      <c r="I103" s="141"/>
    </row>
    <row r="104" spans="1:16" x14ac:dyDescent="0.25">
      <c r="A104" s="136"/>
      <c r="B104" s="136"/>
      <c r="C104" s="136"/>
      <c r="D104" s="136"/>
      <c r="E104" s="136"/>
      <c r="F104" s="137"/>
      <c r="G104" s="136"/>
      <c r="H104" s="136"/>
      <c r="I104" s="136"/>
    </row>
    <row r="105" spans="1:16" x14ac:dyDescent="0.25">
      <c r="A105" s="138"/>
      <c r="B105" s="138"/>
      <c r="F105" s="139"/>
    </row>
    <row r="106" spans="1:16" x14ac:dyDescent="0.25">
      <c r="A106" s="138"/>
      <c r="B106" s="138"/>
      <c r="F106" s="139"/>
    </row>
    <row r="107" spans="1:16" x14ac:dyDescent="0.25">
      <c r="A107" s="140"/>
      <c r="B107" s="140"/>
      <c r="C107" s="141"/>
      <c r="D107" s="141"/>
      <c r="E107" s="141"/>
      <c r="F107" s="141"/>
      <c r="G107" s="141"/>
      <c r="H107" s="141"/>
      <c r="I107" s="141"/>
    </row>
    <row r="108" spans="1:16" x14ac:dyDescent="0.25">
      <c r="A108" s="142"/>
      <c r="B108" s="142"/>
      <c r="C108" s="143"/>
      <c r="D108" s="143"/>
      <c r="E108" s="143"/>
      <c r="F108" s="143"/>
      <c r="G108" s="143"/>
      <c r="H108" s="143"/>
      <c r="I108" s="143"/>
    </row>
    <row r="109" spans="1:16" x14ac:dyDescent="0.25">
      <c r="A109" s="142"/>
      <c r="B109" s="142"/>
      <c r="C109" s="143"/>
      <c r="D109" s="143"/>
      <c r="E109" s="143"/>
      <c r="F109" s="143"/>
      <c r="G109" s="143"/>
      <c r="H109" s="143"/>
      <c r="I109" s="143"/>
    </row>
    <row r="110" spans="1:16" x14ac:dyDescent="0.25">
      <c r="A110" s="142"/>
      <c r="B110" s="142"/>
      <c r="C110" s="143"/>
      <c r="D110" s="143"/>
      <c r="E110" s="143"/>
      <c r="F110" s="143"/>
      <c r="G110" s="143"/>
      <c r="H110" s="143"/>
      <c r="I110" s="143"/>
    </row>
    <row r="111" spans="1:16" x14ac:dyDescent="0.25">
      <c r="A111" s="142"/>
      <c r="B111" s="142"/>
      <c r="C111" s="143"/>
      <c r="D111" s="143"/>
      <c r="E111" s="143"/>
      <c r="F111" s="143"/>
      <c r="G111" s="143"/>
      <c r="H111" s="143"/>
      <c r="I111" s="143"/>
    </row>
  </sheetData>
  <sheetProtection algorithmName="SHA-512" hashValue="ZSQ6y4aBfanlpaeZO5e37R9uQrstejyURHdFrL6Gr11Qz1U+qEYQjFeoO9I+AguEylsB1gIyDwmvXvDWNmnO9Q==" saltValue="Exw2A43ZzXz6ZiD7mWbfQQ==" spinCount="100000" sheet="1" selectLockedCells="1"/>
  <protectedRanges>
    <protectedRange sqref="F6:F7 H6:H7 D4 G5 I5 C5:D5" name="Property Detail"/>
    <protectedRange sqref="F19" name="Soil Type"/>
  </protectedRanges>
  <mergeCells count="47">
    <mergeCell ref="A71:J71"/>
    <mergeCell ref="A17:J17"/>
    <mergeCell ref="A23:J23"/>
    <mergeCell ref="A6:C6"/>
    <mergeCell ref="A7:C7"/>
    <mergeCell ref="D7:E7"/>
    <mergeCell ref="A52:F52"/>
    <mergeCell ref="C63:C64"/>
    <mergeCell ref="A43:J43"/>
    <mergeCell ref="A15:F15"/>
    <mergeCell ref="A16:F16"/>
    <mergeCell ref="A35:J35"/>
    <mergeCell ref="H25:J26"/>
    <mergeCell ref="H27:J28"/>
    <mergeCell ref="H29:J30"/>
    <mergeCell ref="A28:B28"/>
    <mergeCell ref="L4:N4"/>
    <mergeCell ref="L6:N6"/>
    <mergeCell ref="A1:J1"/>
    <mergeCell ref="A2:J2"/>
    <mergeCell ref="A3:J3"/>
    <mergeCell ref="D4:F4"/>
    <mergeCell ref="L12:O12"/>
    <mergeCell ref="AU45:AU46"/>
    <mergeCell ref="H45:H46"/>
    <mergeCell ref="I45:I46"/>
    <mergeCell ref="H53:J53"/>
    <mergeCell ref="A53:G53"/>
    <mergeCell ref="C45:C46"/>
    <mergeCell ref="J45:J46"/>
    <mergeCell ref="D45:D46"/>
    <mergeCell ref="E45:E46"/>
    <mergeCell ref="F45:F46"/>
    <mergeCell ref="G45:G46"/>
    <mergeCell ref="H91:I91"/>
    <mergeCell ref="A80:D80"/>
    <mergeCell ref="A78:J78"/>
    <mergeCell ref="A89:J89"/>
    <mergeCell ref="A81:C81"/>
    <mergeCell ref="AV45:AV46"/>
    <mergeCell ref="AX45:AX46"/>
    <mergeCell ref="BC45:BC46"/>
    <mergeCell ref="AW45:AW46"/>
    <mergeCell ref="AY45:AY46"/>
    <mergeCell ref="AZ45:AZ46"/>
    <mergeCell ref="BA45:BA46"/>
    <mergeCell ref="BB45:BB46"/>
  </mergeCells>
  <phoneticPr fontId="2" type="noConversion"/>
  <conditionalFormatting sqref="C63:C64">
    <cfRule type="expression" dxfId="9" priority="8">
      <formula>$C$63="OFF"</formula>
    </cfRule>
  </conditionalFormatting>
  <conditionalFormatting sqref="C47:F49 C56:F58">
    <cfRule type="expression" dxfId="8" priority="45">
      <formula>$C47="OFF"</formula>
    </cfRule>
  </conditionalFormatting>
  <conditionalFormatting sqref="D47:E47 I48:K49">
    <cfRule type="expression" dxfId="7" priority="36">
      <formula>C47="Off"</formula>
    </cfRule>
  </conditionalFormatting>
  <conditionalFormatting sqref="F76">
    <cfRule type="cellIs" dxfId="6" priority="6" operator="greaterThan">
      <formula>$F$82</formula>
    </cfRule>
    <cfRule type="cellIs" dxfId="5" priority="7" operator="lessThanOrEqual">
      <formula>$F$82</formula>
    </cfRule>
  </conditionalFormatting>
  <conditionalFormatting sqref="F91">
    <cfRule type="expression" dxfId="4" priority="2">
      <formula>IF(OR(AND(F25=2, F92&gt;=I92), AND(F25=20, F92&gt;=I93), AND(F25=100, F92&gt;=I94)), TRUE, FALSE)</formula>
    </cfRule>
    <cfRule type="expression" dxfId="3" priority="3">
      <formula>IF(OR(AND(F25=2, F92&lt;I92), AND(F25=20, F92&lt;I93), AND(F25=100, F92&lt;I94)), TRUE, FALSE)</formula>
    </cfRule>
  </conditionalFormatting>
  <conditionalFormatting sqref="F92">
    <cfRule type="expression" dxfId="2" priority="1">
      <formula>IF(OR(AND(F25=2, F92&gt;=I92), AND(F25=20, F92&gt;=I93), AND(F25=100, F92&gt;=I94)), TRUE, FALSE)</formula>
    </cfRule>
    <cfRule type="expression" dxfId="1" priority="4">
      <formula>IF(OR(AND(F25=2, F92&lt;I92), AND(F25=20, F92&lt;I93), AND(F25=100, F92&lt;I94)), TRUE, FALSE)</formula>
    </cfRule>
  </conditionalFormatting>
  <conditionalFormatting sqref="H47:K47 F47:G49">
    <cfRule type="expression" dxfId="0" priority="43">
      <formula>#REF!="Off"</formula>
    </cfRule>
  </conditionalFormatting>
  <pageMargins left="0.7" right="0.7" top="0.75" bottom="0.75" header="0.3" footer="0.3"/>
  <pageSetup paperSize="9" scale="6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D3849731-251A-42F7-BF94-6F45E63853B6}">
          <x14:formula1>
            <xm:f>'Design Parameters'!$A$2:$A$6</xm:f>
          </x14:formula1>
          <xm:sqref>F19</xm:sqref>
        </x14:dataValidation>
        <x14:dataValidation type="list" allowBlank="1" showInputMessage="1" showErrorMessage="1" xr:uid="{7DF78604-5390-499B-8AC5-490FA1F9A7E3}">
          <x14:formula1>
            <xm:f>'Design Parameters'!$A$16:$A$17</xm:f>
          </x14:formula1>
          <xm:sqref>F12:F14</xm:sqref>
        </x14:dataValidation>
        <x14:dataValidation type="list" allowBlank="1" showInputMessage="1" showErrorMessage="1" xr:uid="{1EA9603D-C9FD-47CB-9FAB-16C956301671}">
          <x14:formula1>
            <xm:f>'Design Parameters'!$A$21:$A$23</xm:f>
          </x14:formula1>
          <xm:sqref>F26</xm:sqref>
        </x14:dataValidation>
        <x14:dataValidation type="list" allowBlank="1" showInputMessage="1" showErrorMessage="1" xr:uid="{DFFC2C75-E09C-4FAA-8E4E-5FE466A08259}">
          <x14:formula1>
            <xm:f>'Design Parameters'!$A$75:$A$81</xm:f>
          </x14:formula1>
          <xm:sqref>D47:D49</xm:sqref>
        </x14:dataValidation>
        <x14:dataValidation type="list" allowBlank="1" showInputMessage="1" showErrorMessage="1" xr:uid="{95A60BEC-DAB5-4604-AD56-E05E65A60CE1}">
          <x14:formula1>
            <xm:f>'Design Parameters'!$B$75:$B$81</xm:f>
          </x14:formula1>
          <xm:sqref>E47:E49</xm:sqref>
        </x14:dataValidation>
        <x14:dataValidation type="list" allowBlank="1" showInputMessage="1" showErrorMessage="1" xr:uid="{02892649-9F3E-4FC8-8B77-99BF3735390D}">
          <x14:formula1>
            <xm:f>'Design Parameters'!$D$75:$D$76</xm:f>
          </x14:formula1>
          <xm:sqref>C47:C49 C56:C58</xm:sqref>
        </x14:dataValidation>
        <x14:dataValidation type="list" allowBlank="1" showInputMessage="1" showErrorMessage="1" xr:uid="{D92E9F12-70CD-4D78-8ED1-C7587625F99D}">
          <x14:formula1>
            <xm:f>'Design Parameters'!$A$88:$A$91</xm:f>
          </x14:formula1>
          <xm:sqref>D56:D58</xm:sqref>
        </x14:dataValidation>
        <x14:dataValidation type="list" allowBlank="1" showInputMessage="1" showErrorMessage="1" xr:uid="{EAB12C62-09D4-4BCF-8E38-90F8E64C0ABE}">
          <x14:formula1>
            <xm:f>'Design Parameters'!$B$88:$B$93</xm:f>
          </x14:formula1>
          <xm:sqref>F56:F58</xm:sqref>
        </x14:dataValidation>
        <x14:dataValidation type="list" allowBlank="1" showInputMessage="1" showErrorMessage="1" xr:uid="{EF664B72-B454-4D56-8D5B-4D7AEB89AC83}">
          <x14:formula1>
            <xm:f>'Design Parameters'!$A$96:$A$97</xm:f>
          </x14:formula1>
          <xm:sqref>D64:E64</xm:sqref>
        </x14:dataValidation>
        <x14:dataValidation type="list" allowBlank="1" showInputMessage="1" showErrorMessage="1" xr:uid="{6E48B23C-1D1C-4CB7-94F4-3EB37DC839D6}">
          <x14:formula1>
            <xm:f>'Design Parameters'!$B$96:$B$101</xm:f>
          </x14:formula1>
          <xm:sqref>F64</xm:sqref>
        </x14:dataValidation>
        <x14:dataValidation type="list" allowBlank="1" showInputMessage="1" showErrorMessage="1" xr:uid="{B285B14F-6064-4CAB-8BB8-49EE34B40FE0}">
          <x14:formula1>
            <xm:f>'Design Parameters'!$C$104:$C$107</xm:f>
          </x14:formula1>
          <xm:sqref>BB47:BB50</xm:sqref>
        </x14:dataValidation>
        <x14:dataValidation type="list" allowBlank="1" showInputMessage="1" showErrorMessage="1" xr:uid="{FBCA5C9D-6A33-43D6-8D2F-0708DE957779}">
          <x14:formula1>
            <xm:f>'Design Parameters'!$C$75:$C$80</xm:f>
          </x14:formula1>
          <xm:sqref>F47:F49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37FDD-74E7-4BF8-9A84-66FDDBEB3F42}">
  <dimension ref="A1:V74"/>
  <sheetViews>
    <sheetView zoomScale="85" zoomScaleNormal="85" workbookViewId="0">
      <selection activeCell="H17" sqref="H17"/>
    </sheetView>
  </sheetViews>
  <sheetFormatPr defaultColWidth="8.85546875" defaultRowHeight="15" x14ac:dyDescent="0.25"/>
  <cols>
    <col min="1" max="1" width="8.85546875" style="24"/>
    <col min="2" max="2" width="10.5703125" style="24" bestFit="1" customWidth="1"/>
    <col min="3" max="3" width="8.85546875" style="24"/>
    <col min="4" max="4" width="9.140625" style="24" customWidth="1"/>
    <col min="5" max="13" width="8.85546875" style="24"/>
    <col min="14" max="14" width="12.42578125" style="24" bestFit="1" customWidth="1"/>
    <col min="15" max="15" width="14.140625" style="24" bestFit="1" customWidth="1"/>
    <col min="16" max="16" width="7.140625" style="24" bestFit="1" customWidth="1"/>
    <col min="17" max="17" width="4.7109375" style="24" bestFit="1" customWidth="1"/>
    <col min="18" max="18" width="7.140625" style="24" bestFit="1" customWidth="1"/>
    <col min="19" max="22" width="7.7109375" style="24" bestFit="1" customWidth="1"/>
    <col min="23" max="16384" width="8.85546875" style="24"/>
  </cols>
  <sheetData>
    <row r="1" spans="1:22" x14ac:dyDescent="0.25">
      <c r="A1" s="23" t="s">
        <v>107</v>
      </c>
    </row>
    <row r="2" spans="1:22" ht="26.25" x14ac:dyDescent="0.4">
      <c r="A2" s="24" t="s">
        <v>108</v>
      </c>
      <c r="B2" s="24" t="str">
        <f>'Drainage calculator'!D$4</f>
        <v>244 Vincent street</v>
      </c>
      <c r="O2" s="25" t="s">
        <v>109</v>
      </c>
    </row>
    <row r="3" spans="1:22" ht="15.75" thickBot="1" x14ac:dyDescent="0.3">
      <c r="A3" s="24" t="s">
        <v>110</v>
      </c>
      <c r="B3" s="26">
        <v>-31.940850000000001</v>
      </c>
    </row>
    <row r="4" spans="1:22" x14ac:dyDescent="0.25">
      <c r="A4" s="24" t="s">
        <v>111</v>
      </c>
      <c r="B4" s="26">
        <v>115.87151</v>
      </c>
      <c r="O4" s="27"/>
      <c r="P4" s="28"/>
      <c r="Q4" s="28"/>
      <c r="R4" s="28">
        <v>5</v>
      </c>
      <c r="S4" s="28">
        <v>10</v>
      </c>
      <c r="T4" s="28">
        <v>20</v>
      </c>
      <c r="U4" s="28">
        <v>50</v>
      </c>
      <c r="V4" s="29">
        <v>100</v>
      </c>
    </row>
    <row r="5" spans="1:22" x14ac:dyDescent="0.25">
      <c r="B5" s="26"/>
      <c r="O5" s="30" t="s">
        <v>112</v>
      </c>
      <c r="P5" s="31">
        <v>0.63200000000000001</v>
      </c>
      <c r="Q5" s="32">
        <v>0.5</v>
      </c>
      <c r="R5" s="32">
        <v>0.2</v>
      </c>
      <c r="S5" s="32">
        <v>0.1</v>
      </c>
      <c r="T5" s="32">
        <v>0.05</v>
      </c>
      <c r="U5" s="32">
        <v>0.02</v>
      </c>
      <c r="V5" s="33">
        <v>0.01</v>
      </c>
    </row>
    <row r="6" spans="1:22" x14ac:dyDescent="0.25">
      <c r="A6" s="23" t="s">
        <v>113</v>
      </c>
      <c r="O6" s="34">
        <v>5</v>
      </c>
      <c r="P6" s="35"/>
      <c r="Q6" s="35"/>
      <c r="R6" s="36">
        <f>E15</f>
        <v>96.3</v>
      </c>
      <c r="S6" s="36">
        <f>F15</f>
        <v>113</v>
      </c>
      <c r="T6" s="36">
        <f>G15</f>
        <v>129</v>
      </c>
      <c r="U6" s="36">
        <f>H15</f>
        <v>153</v>
      </c>
      <c r="V6" s="37">
        <f>I15</f>
        <v>172</v>
      </c>
    </row>
    <row r="7" spans="1:22" x14ac:dyDescent="0.25">
      <c r="A7" s="62" t="s">
        <v>114</v>
      </c>
      <c r="O7" s="34">
        <v>5.5</v>
      </c>
      <c r="P7" s="35"/>
      <c r="Q7" s="35"/>
      <c r="R7" s="36">
        <f t="shared" ref="R7:R15" si="0">R6-((R$6-R$16)/10)</f>
        <v>93.759999999999991</v>
      </c>
      <c r="S7" s="36">
        <f t="shared" ref="S7:S15" si="1">S6-((S$6-S$16)/10)</f>
        <v>110</v>
      </c>
      <c r="T7" s="36">
        <f t="shared" ref="T7:T15" si="2">T6-((T$6-T$16)/10)</f>
        <v>125.65</v>
      </c>
      <c r="U7" s="36">
        <f t="shared" ref="U7:U15" si="3">U6-((U$6-U$16)/10)</f>
        <v>149</v>
      </c>
      <c r="V7" s="37">
        <f t="shared" ref="V7:V15" si="4">V6-((V$6-V$16)/10)</f>
        <v>167.5</v>
      </c>
    </row>
    <row r="8" spans="1:22" x14ac:dyDescent="0.25">
      <c r="B8" s="359" t="s">
        <v>115</v>
      </c>
      <c r="C8" s="359"/>
      <c r="D8" s="359"/>
      <c r="E8" s="359"/>
      <c r="F8" s="359"/>
      <c r="G8" s="359"/>
      <c r="H8" s="359"/>
      <c r="I8" s="359"/>
      <c r="O8" s="34">
        <v>6</v>
      </c>
      <c r="P8" s="35"/>
      <c r="Q8" s="35"/>
      <c r="R8" s="36">
        <f t="shared" si="0"/>
        <v>91.22</v>
      </c>
      <c r="S8" s="36">
        <f t="shared" si="1"/>
        <v>107</v>
      </c>
      <c r="T8" s="36">
        <f t="shared" si="2"/>
        <v>122.30000000000001</v>
      </c>
      <c r="U8" s="36">
        <f t="shared" si="3"/>
        <v>145</v>
      </c>
      <c r="V8" s="37">
        <f t="shared" si="4"/>
        <v>163</v>
      </c>
    </row>
    <row r="9" spans="1:22" x14ac:dyDescent="0.25">
      <c r="B9" s="24" t="s">
        <v>116</v>
      </c>
      <c r="C9" s="24">
        <v>1.5</v>
      </c>
      <c r="D9" s="24">
        <v>2</v>
      </c>
      <c r="E9" s="24">
        <v>5</v>
      </c>
      <c r="F9" s="24">
        <v>10</v>
      </c>
      <c r="G9" s="24">
        <v>20</v>
      </c>
      <c r="H9" s="24">
        <v>50</v>
      </c>
      <c r="I9" s="24">
        <v>100</v>
      </c>
      <c r="M9" s="23"/>
      <c r="O9" s="34">
        <v>6.5</v>
      </c>
      <c r="P9" s="35"/>
      <c r="Q9" s="35"/>
      <c r="R9" s="36">
        <f t="shared" si="0"/>
        <v>88.68</v>
      </c>
      <c r="S9" s="36">
        <f t="shared" si="1"/>
        <v>104</v>
      </c>
      <c r="T9" s="36">
        <f t="shared" si="2"/>
        <v>118.95000000000002</v>
      </c>
      <c r="U9" s="36">
        <f t="shared" si="3"/>
        <v>141</v>
      </c>
      <c r="V9" s="37">
        <f t="shared" si="4"/>
        <v>158.5</v>
      </c>
    </row>
    <row r="10" spans="1:22" ht="15.75" thickBot="1" x14ac:dyDescent="0.3">
      <c r="B10" s="38" t="s">
        <v>117</v>
      </c>
      <c r="C10" s="39">
        <v>0.63200000000000001</v>
      </c>
      <c r="D10" s="40">
        <v>0.5</v>
      </c>
      <c r="E10" s="40">
        <v>0.2</v>
      </c>
      <c r="F10" s="40">
        <v>0.1</v>
      </c>
      <c r="G10" s="40">
        <v>0.05</v>
      </c>
      <c r="H10" s="40">
        <v>0.02</v>
      </c>
      <c r="I10" s="40">
        <v>0.01</v>
      </c>
      <c r="J10" s="41"/>
      <c r="O10" s="34">
        <v>7</v>
      </c>
      <c r="P10" s="35"/>
      <c r="Q10" s="35"/>
      <c r="R10" s="36">
        <f t="shared" si="0"/>
        <v>86.140000000000015</v>
      </c>
      <c r="S10" s="36">
        <f t="shared" si="1"/>
        <v>101</v>
      </c>
      <c r="T10" s="36">
        <f t="shared" si="2"/>
        <v>115.60000000000002</v>
      </c>
      <c r="U10" s="36">
        <f t="shared" si="3"/>
        <v>137</v>
      </c>
      <c r="V10" s="37">
        <f t="shared" si="4"/>
        <v>154</v>
      </c>
    </row>
    <row r="11" spans="1:22" ht="15.75" thickTop="1" x14ac:dyDescent="0.25">
      <c r="A11" s="24">
        <v>1</v>
      </c>
      <c r="B11" s="42" t="s">
        <v>118</v>
      </c>
      <c r="C11" s="53">
        <v>103</v>
      </c>
      <c r="D11" s="54">
        <v>114</v>
      </c>
      <c r="E11" s="54">
        <v>149</v>
      </c>
      <c r="F11" s="54">
        <v>174</v>
      </c>
      <c r="G11" s="54">
        <v>200</v>
      </c>
      <c r="H11" s="54">
        <v>236</v>
      </c>
      <c r="I11" s="55">
        <v>265</v>
      </c>
      <c r="J11" s="43"/>
      <c r="O11" s="34">
        <v>7.5</v>
      </c>
      <c r="P11" s="35"/>
      <c r="Q11" s="35"/>
      <c r="R11" s="36">
        <f t="shared" si="0"/>
        <v>83.600000000000023</v>
      </c>
      <c r="S11" s="36">
        <f t="shared" si="1"/>
        <v>98</v>
      </c>
      <c r="T11" s="36">
        <f t="shared" si="2"/>
        <v>112.25000000000003</v>
      </c>
      <c r="U11" s="36">
        <f t="shared" si="3"/>
        <v>133</v>
      </c>
      <c r="V11" s="37">
        <f t="shared" si="4"/>
        <v>149.5</v>
      </c>
    </row>
    <row r="12" spans="1:22" x14ac:dyDescent="0.25">
      <c r="A12" s="24">
        <v>2</v>
      </c>
      <c r="B12" s="42" t="s">
        <v>119</v>
      </c>
      <c r="C12" s="56">
        <v>90</v>
      </c>
      <c r="D12" s="57">
        <v>98.7</v>
      </c>
      <c r="E12" s="57">
        <v>127</v>
      </c>
      <c r="F12" s="57">
        <v>148</v>
      </c>
      <c r="G12" s="57">
        <v>169</v>
      </c>
      <c r="H12" s="57">
        <v>199</v>
      </c>
      <c r="I12" s="58">
        <v>223</v>
      </c>
      <c r="J12" s="44"/>
      <c r="O12" s="34">
        <v>8</v>
      </c>
      <c r="P12" s="35"/>
      <c r="Q12" s="35"/>
      <c r="R12" s="36">
        <f t="shared" si="0"/>
        <v>81.060000000000031</v>
      </c>
      <c r="S12" s="36">
        <f t="shared" si="1"/>
        <v>95</v>
      </c>
      <c r="T12" s="36">
        <f t="shared" si="2"/>
        <v>108.90000000000003</v>
      </c>
      <c r="U12" s="36">
        <f t="shared" si="3"/>
        <v>129</v>
      </c>
      <c r="V12" s="37">
        <f t="shared" si="4"/>
        <v>145</v>
      </c>
    </row>
    <row r="13" spans="1:22" x14ac:dyDescent="0.25">
      <c r="A13" s="24">
        <v>3</v>
      </c>
      <c r="B13" s="42" t="s">
        <v>120</v>
      </c>
      <c r="C13" s="56">
        <v>80.400000000000006</v>
      </c>
      <c r="D13" s="57">
        <v>88.3</v>
      </c>
      <c r="E13" s="57">
        <v>114</v>
      </c>
      <c r="F13" s="57">
        <v>133</v>
      </c>
      <c r="G13" s="57">
        <v>152</v>
      </c>
      <c r="H13" s="57">
        <v>180</v>
      </c>
      <c r="I13" s="58">
        <v>202</v>
      </c>
      <c r="J13" s="45"/>
      <c r="O13" s="34">
        <v>8.5</v>
      </c>
      <c r="P13" s="35"/>
      <c r="Q13" s="35"/>
      <c r="R13" s="36">
        <f t="shared" si="0"/>
        <v>78.520000000000039</v>
      </c>
      <c r="S13" s="36">
        <f t="shared" si="1"/>
        <v>92</v>
      </c>
      <c r="T13" s="36">
        <f t="shared" si="2"/>
        <v>105.55000000000004</v>
      </c>
      <c r="U13" s="36">
        <f t="shared" si="3"/>
        <v>125</v>
      </c>
      <c r="V13" s="37">
        <f t="shared" si="4"/>
        <v>140.5</v>
      </c>
    </row>
    <row r="14" spans="1:22" x14ac:dyDescent="0.25">
      <c r="A14" s="24">
        <v>4</v>
      </c>
      <c r="B14" s="42" t="s">
        <v>121</v>
      </c>
      <c r="C14" s="56">
        <v>73</v>
      </c>
      <c r="D14" s="57">
        <v>80.3</v>
      </c>
      <c r="E14" s="57">
        <v>104</v>
      </c>
      <c r="F14" s="57">
        <v>122</v>
      </c>
      <c r="G14" s="57">
        <v>140</v>
      </c>
      <c r="H14" s="57">
        <v>165</v>
      </c>
      <c r="I14" s="58">
        <v>186</v>
      </c>
      <c r="J14" s="45"/>
      <c r="O14" s="34">
        <v>9</v>
      </c>
      <c r="P14" s="35"/>
      <c r="Q14" s="35"/>
      <c r="R14" s="36">
        <f t="shared" si="0"/>
        <v>75.980000000000047</v>
      </c>
      <c r="S14" s="36">
        <f t="shared" si="1"/>
        <v>89</v>
      </c>
      <c r="T14" s="36">
        <f t="shared" si="2"/>
        <v>102.20000000000005</v>
      </c>
      <c r="U14" s="36">
        <f t="shared" si="3"/>
        <v>121</v>
      </c>
      <c r="V14" s="37">
        <f t="shared" si="4"/>
        <v>136</v>
      </c>
    </row>
    <row r="15" spans="1:22" x14ac:dyDescent="0.25">
      <c r="A15" s="24">
        <v>5</v>
      </c>
      <c r="B15" s="42" t="s">
        <v>122</v>
      </c>
      <c r="C15" s="56">
        <v>67</v>
      </c>
      <c r="D15" s="57">
        <v>73.8</v>
      </c>
      <c r="E15" s="57">
        <v>96.3</v>
      </c>
      <c r="F15" s="57">
        <v>113</v>
      </c>
      <c r="G15" s="57">
        <v>129</v>
      </c>
      <c r="H15" s="57">
        <v>153</v>
      </c>
      <c r="I15" s="58">
        <v>172</v>
      </c>
      <c r="J15" s="45"/>
      <c r="O15" s="34">
        <v>9.5</v>
      </c>
      <c r="P15" s="35"/>
      <c r="Q15" s="35"/>
      <c r="R15" s="36">
        <f t="shared" si="0"/>
        <v>73.440000000000055</v>
      </c>
      <c r="S15" s="36">
        <f t="shared" si="1"/>
        <v>86</v>
      </c>
      <c r="T15" s="36">
        <f t="shared" si="2"/>
        <v>98.850000000000051</v>
      </c>
      <c r="U15" s="36">
        <f t="shared" si="3"/>
        <v>117</v>
      </c>
      <c r="V15" s="37">
        <f t="shared" si="4"/>
        <v>131.5</v>
      </c>
    </row>
    <row r="16" spans="1:22" x14ac:dyDescent="0.25">
      <c r="A16" s="24">
        <v>10</v>
      </c>
      <c r="B16" s="42" t="s">
        <v>123</v>
      </c>
      <c r="C16" s="56">
        <v>48.8</v>
      </c>
      <c r="D16" s="57">
        <v>53.9</v>
      </c>
      <c r="E16" s="57">
        <v>70.900000000000006</v>
      </c>
      <c r="F16" s="57">
        <v>83</v>
      </c>
      <c r="G16" s="57">
        <v>95.5</v>
      </c>
      <c r="H16" s="57">
        <v>113</v>
      </c>
      <c r="I16" s="58">
        <v>127</v>
      </c>
      <c r="J16" s="45"/>
      <c r="O16" s="34">
        <v>10</v>
      </c>
      <c r="P16" s="35"/>
      <c r="Q16" s="35"/>
      <c r="R16" s="36">
        <f>E16</f>
        <v>70.900000000000006</v>
      </c>
      <c r="S16" s="36">
        <f>F16</f>
        <v>83</v>
      </c>
      <c r="T16" s="36">
        <f>G16</f>
        <v>95.5</v>
      </c>
      <c r="U16" s="36">
        <f>H16</f>
        <v>113</v>
      </c>
      <c r="V16" s="37">
        <f>I16</f>
        <v>127</v>
      </c>
    </row>
    <row r="17" spans="1:22" x14ac:dyDescent="0.25">
      <c r="A17" s="24">
        <v>15</v>
      </c>
      <c r="B17" s="42" t="s">
        <v>124</v>
      </c>
      <c r="C17" s="56">
        <v>39.299999999999997</v>
      </c>
      <c r="D17" s="57">
        <v>43.5</v>
      </c>
      <c r="E17" s="57">
        <v>57.1</v>
      </c>
      <c r="F17" s="57">
        <v>66.900000000000006</v>
      </c>
      <c r="G17" s="57">
        <v>76.900000000000006</v>
      </c>
      <c r="H17" s="57">
        <v>90.6</v>
      </c>
      <c r="I17" s="58">
        <v>102</v>
      </c>
      <c r="J17" s="45"/>
      <c r="O17" s="34">
        <v>10.5</v>
      </c>
      <c r="P17" s="35"/>
      <c r="Q17" s="35"/>
      <c r="R17" s="36">
        <f t="shared" ref="R17:R25" si="5">R16-((R$16-R$26)/10)</f>
        <v>69.52000000000001</v>
      </c>
      <c r="S17" s="36">
        <f t="shared" ref="S17:S25" si="6">S16-((S$16-S$26)/10)</f>
        <v>81.39</v>
      </c>
      <c r="T17" s="36">
        <f t="shared" ref="T17:T25" si="7">T16-((T$16-T$26)/10)</f>
        <v>93.64</v>
      </c>
      <c r="U17" s="36">
        <f t="shared" ref="U17:U25" si="8">U16-((U$16-U$26)/10)</f>
        <v>110.76</v>
      </c>
      <c r="V17" s="37">
        <f t="shared" ref="V17:V25" si="9">V16-((V$16-V$26)/10)</f>
        <v>124.5</v>
      </c>
    </row>
    <row r="18" spans="1:22" x14ac:dyDescent="0.25">
      <c r="A18" s="24">
        <v>20</v>
      </c>
      <c r="B18" s="42" t="s">
        <v>125</v>
      </c>
      <c r="C18" s="56">
        <v>33.4</v>
      </c>
      <c r="D18" s="57">
        <v>36.9</v>
      </c>
      <c r="E18" s="57">
        <v>48.4</v>
      </c>
      <c r="F18" s="57">
        <v>56.6</v>
      </c>
      <c r="G18" s="57">
        <v>65</v>
      </c>
      <c r="H18" s="57">
        <v>76.599999999999994</v>
      </c>
      <c r="I18" s="58">
        <v>85.9</v>
      </c>
      <c r="J18" s="45"/>
      <c r="O18" s="34">
        <v>11</v>
      </c>
      <c r="P18" s="35"/>
      <c r="Q18" s="35"/>
      <c r="R18" s="36">
        <f t="shared" si="5"/>
        <v>68.140000000000015</v>
      </c>
      <c r="S18" s="36">
        <f t="shared" si="6"/>
        <v>79.78</v>
      </c>
      <c r="T18" s="36">
        <f t="shared" si="7"/>
        <v>91.78</v>
      </c>
      <c r="U18" s="36">
        <f t="shared" si="8"/>
        <v>108.52000000000001</v>
      </c>
      <c r="V18" s="37">
        <f t="shared" si="9"/>
        <v>122</v>
      </c>
    </row>
    <row r="19" spans="1:22" x14ac:dyDescent="0.25">
      <c r="A19" s="24">
        <v>25</v>
      </c>
      <c r="B19" s="42" t="s">
        <v>126</v>
      </c>
      <c r="C19" s="56">
        <v>29.3</v>
      </c>
      <c r="D19" s="57">
        <v>32.299999999999997</v>
      </c>
      <c r="E19" s="57">
        <v>42.3</v>
      </c>
      <c r="F19" s="57">
        <v>49.5</v>
      </c>
      <c r="G19" s="57">
        <v>56.8</v>
      </c>
      <c r="H19" s="57">
        <v>66.900000000000006</v>
      </c>
      <c r="I19" s="58">
        <v>75</v>
      </c>
      <c r="J19" s="45"/>
      <c r="O19" s="34">
        <v>11.5</v>
      </c>
      <c r="P19" s="35"/>
      <c r="Q19" s="35"/>
      <c r="R19" s="36">
        <f t="shared" si="5"/>
        <v>66.760000000000019</v>
      </c>
      <c r="S19" s="36">
        <f t="shared" si="6"/>
        <v>78.17</v>
      </c>
      <c r="T19" s="36">
        <f t="shared" si="7"/>
        <v>89.92</v>
      </c>
      <c r="U19" s="36">
        <f t="shared" si="8"/>
        <v>106.28000000000002</v>
      </c>
      <c r="V19" s="37">
        <f t="shared" si="9"/>
        <v>119.5</v>
      </c>
    </row>
    <row r="20" spans="1:22" x14ac:dyDescent="0.25">
      <c r="A20" s="24">
        <v>30</v>
      </c>
      <c r="B20" s="42" t="s">
        <v>127</v>
      </c>
      <c r="C20" s="56">
        <v>26.2</v>
      </c>
      <c r="D20" s="57">
        <v>28.9</v>
      </c>
      <c r="E20" s="57">
        <v>37.799999999999997</v>
      </c>
      <c r="F20" s="57">
        <v>44.2</v>
      </c>
      <c r="G20" s="57">
        <v>50.7</v>
      </c>
      <c r="H20" s="57">
        <v>59.7</v>
      </c>
      <c r="I20" s="58">
        <v>67</v>
      </c>
      <c r="J20" s="45"/>
      <c r="O20" s="34">
        <v>12</v>
      </c>
      <c r="P20" s="35"/>
      <c r="Q20" s="35"/>
      <c r="R20" s="36">
        <f t="shared" si="5"/>
        <v>65.380000000000024</v>
      </c>
      <c r="S20" s="36">
        <f t="shared" si="6"/>
        <v>76.56</v>
      </c>
      <c r="T20" s="36">
        <f t="shared" si="7"/>
        <v>88.06</v>
      </c>
      <c r="U20" s="36">
        <f t="shared" si="8"/>
        <v>104.04000000000002</v>
      </c>
      <c r="V20" s="37">
        <f t="shared" si="9"/>
        <v>117</v>
      </c>
    </row>
    <row r="21" spans="1:22" x14ac:dyDescent="0.25">
      <c r="A21" s="24">
        <v>45</v>
      </c>
      <c r="B21" s="42" t="s">
        <v>128</v>
      </c>
      <c r="C21" s="56">
        <v>20.399999999999999</v>
      </c>
      <c r="D21" s="57">
        <v>22.5</v>
      </c>
      <c r="E21" s="57">
        <v>29.2</v>
      </c>
      <c r="F21" s="57">
        <v>34.1</v>
      </c>
      <c r="G21" s="57">
        <v>39.200000000000003</v>
      </c>
      <c r="H21" s="57">
        <v>46.2</v>
      </c>
      <c r="I21" s="58">
        <v>52</v>
      </c>
      <c r="J21" s="45"/>
      <c r="O21" s="34">
        <v>12.5</v>
      </c>
      <c r="P21" s="35"/>
      <c r="Q21" s="35"/>
      <c r="R21" s="36">
        <f t="shared" si="5"/>
        <v>64.000000000000028</v>
      </c>
      <c r="S21" s="36">
        <f t="shared" si="6"/>
        <v>74.95</v>
      </c>
      <c r="T21" s="36">
        <f t="shared" si="7"/>
        <v>86.2</v>
      </c>
      <c r="U21" s="36">
        <f t="shared" si="8"/>
        <v>101.80000000000003</v>
      </c>
      <c r="V21" s="37">
        <f t="shared" si="9"/>
        <v>114.5</v>
      </c>
    </row>
    <row r="22" spans="1:22" x14ac:dyDescent="0.25">
      <c r="A22" s="24">
        <v>60</v>
      </c>
      <c r="B22" s="42" t="s">
        <v>129</v>
      </c>
      <c r="C22" s="56">
        <v>17</v>
      </c>
      <c r="D22" s="57">
        <v>18.7</v>
      </c>
      <c r="E22" s="57">
        <v>24.3</v>
      </c>
      <c r="F22" s="57">
        <v>28.3</v>
      </c>
      <c r="G22" s="57">
        <v>32.5</v>
      </c>
      <c r="H22" s="57">
        <v>38.5</v>
      </c>
      <c r="I22" s="58">
        <v>43.4</v>
      </c>
      <c r="J22" s="45"/>
      <c r="O22" s="34">
        <v>13</v>
      </c>
      <c r="P22" s="35"/>
      <c r="Q22" s="35"/>
      <c r="R22" s="36">
        <f t="shared" si="5"/>
        <v>62.620000000000026</v>
      </c>
      <c r="S22" s="36">
        <f t="shared" si="6"/>
        <v>73.34</v>
      </c>
      <c r="T22" s="36">
        <f t="shared" si="7"/>
        <v>84.34</v>
      </c>
      <c r="U22" s="36">
        <f t="shared" si="8"/>
        <v>99.560000000000031</v>
      </c>
      <c r="V22" s="37">
        <f t="shared" si="9"/>
        <v>112</v>
      </c>
    </row>
    <row r="23" spans="1:22" x14ac:dyDescent="0.25">
      <c r="A23" s="24">
        <v>90</v>
      </c>
      <c r="B23" s="42" t="s">
        <v>130</v>
      </c>
      <c r="C23" s="56">
        <v>13.1</v>
      </c>
      <c r="D23" s="57">
        <v>14.4</v>
      </c>
      <c r="E23" s="57">
        <v>18.600000000000001</v>
      </c>
      <c r="F23" s="57">
        <v>21.8</v>
      </c>
      <c r="G23" s="57">
        <v>25.1</v>
      </c>
      <c r="H23" s="57">
        <v>29.9</v>
      </c>
      <c r="I23" s="58">
        <v>33.9</v>
      </c>
      <c r="J23" s="45"/>
      <c r="O23" s="34">
        <v>13.5</v>
      </c>
      <c r="P23" s="35"/>
      <c r="Q23" s="35"/>
      <c r="R23" s="36">
        <f t="shared" si="5"/>
        <v>61.240000000000023</v>
      </c>
      <c r="S23" s="36">
        <f t="shared" si="6"/>
        <v>71.73</v>
      </c>
      <c r="T23" s="36">
        <f t="shared" si="7"/>
        <v>82.48</v>
      </c>
      <c r="U23" s="36">
        <f t="shared" si="8"/>
        <v>97.320000000000036</v>
      </c>
      <c r="V23" s="37">
        <f t="shared" si="9"/>
        <v>109.5</v>
      </c>
    </row>
    <row r="24" spans="1:22" x14ac:dyDescent="0.25">
      <c r="A24" s="24">
        <v>120</v>
      </c>
      <c r="B24" s="42" t="s">
        <v>131</v>
      </c>
      <c r="C24" s="56">
        <v>10.9</v>
      </c>
      <c r="D24" s="57">
        <v>11.9</v>
      </c>
      <c r="E24" s="57">
        <v>15.4</v>
      </c>
      <c r="F24" s="57">
        <v>18.100000000000001</v>
      </c>
      <c r="G24" s="57">
        <v>20.9</v>
      </c>
      <c r="H24" s="57">
        <v>25</v>
      </c>
      <c r="I24" s="58">
        <v>28.5</v>
      </c>
      <c r="J24" s="45"/>
      <c r="O24" s="34">
        <v>14</v>
      </c>
      <c r="P24" s="35"/>
      <c r="Q24" s="35"/>
      <c r="R24" s="36">
        <f t="shared" si="5"/>
        <v>59.860000000000021</v>
      </c>
      <c r="S24" s="36">
        <f t="shared" si="6"/>
        <v>70.12</v>
      </c>
      <c r="T24" s="36">
        <f t="shared" si="7"/>
        <v>80.62</v>
      </c>
      <c r="U24" s="36">
        <f t="shared" si="8"/>
        <v>95.080000000000041</v>
      </c>
      <c r="V24" s="37">
        <f t="shared" si="9"/>
        <v>107</v>
      </c>
    </row>
    <row r="25" spans="1:22" x14ac:dyDescent="0.25">
      <c r="A25" s="24">
        <v>180</v>
      </c>
      <c r="B25" s="42" t="s">
        <v>132</v>
      </c>
      <c r="C25" s="56">
        <v>8.3800000000000008</v>
      </c>
      <c r="D25" s="57">
        <v>9.16</v>
      </c>
      <c r="E25" s="57">
        <v>11.9</v>
      </c>
      <c r="F25" s="57">
        <v>14</v>
      </c>
      <c r="G25" s="57">
        <v>16.2</v>
      </c>
      <c r="H25" s="57">
        <v>19.600000000000001</v>
      </c>
      <c r="I25" s="58">
        <v>22.4</v>
      </c>
      <c r="J25" s="45"/>
      <c r="O25" s="34">
        <v>14.5</v>
      </c>
      <c r="P25" s="35"/>
      <c r="Q25" s="35"/>
      <c r="R25" s="36">
        <f t="shared" si="5"/>
        <v>58.480000000000018</v>
      </c>
      <c r="S25" s="36">
        <f t="shared" si="6"/>
        <v>68.510000000000005</v>
      </c>
      <c r="T25" s="36">
        <f t="shared" si="7"/>
        <v>78.760000000000005</v>
      </c>
      <c r="U25" s="36">
        <f t="shared" si="8"/>
        <v>92.840000000000046</v>
      </c>
      <c r="V25" s="37">
        <f t="shared" si="9"/>
        <v>104.5</v>
      </c>
    </row>
    <row r="26" spans="1:22" x14ac:dyDescent="0.25">
      <c r="A26" s="24">
        <v>270</v>
      </c>
      <c r="B26" s="42" t="s">
        <v>133</v>
      </c>
      <c r="C26" s="56">
        <v>6.45</v>
      </c>
      <c r="D26" s="57">
        <v>7.04</v>
      </c>
      <c r="E26" s="57">
        <v>9.14</v>
      </c>
      <c r="F26" s="57">
        <v>10.8</v>
      </c>
      <c r="G26" s="57">
        <v>12.6</v>
      </c>
      <c r="H26" s="57">
        <v>15.3</v>
      </c>
      <c r="I26" s="58">
        <v>17.7</v>
      </c>
      <c r="J26" s="45"/>
      <c r="O26" s="34">
        <v>15</v>
      </c>
      <c r="P26" s="35"/>
      <c r="Q26" s="35"/>
      <c r="R26" s="36">
        <f>E17</f>
        <v>57.1</v>
      </c>
      <c r="S26" s="36">
        <f>F17</f>
        <v>66.900000000000006</v>
      </c>
      <c r="T26" s="36">
        <f>G17</f>
        <v>76.900000000000006</v>
      </c>
      <c r="U26" s="36">
        <f>H17</f>
        <v>90.6</v>
      </c>
      <c r="V26" s="37">
        <f>I17</f>
        <v>102</v>
      </c>
    </row>
    <row r="27" spans="1:22" x14ac:dyDescent="0.25">
      <c r="A27" s="24">
        <v>360</v>
      </c>
      <c r="B27" s="42" t="s">
        <v>134</v>
      </c>
      <c r="C27" s="56">
        <v>5.35</v>
      </c>
      <c r="D27" s="57">
        <v>5.84</v>
      </c>
      <c r="E27" s="57">
        <v>7.6</v>
      </c>
      <c r="F27" s="57">
        <v>8.99</v>
      </c>
      <c r="G27" s="57">
        <v>10.5</v>
      </c>
      <c r="H27" s="57">
        <v>12.8</v>
      </c>
      <c r="I27" s="58">
        <v>14.9</v>
      </c>
      <c r="J27" s="45"/>
      <c r="O27" s="34">
        <v>15.5</v>
      </c>
      <c r="P27" s="35"/>
      <c r="Q27" s="35"/>
      <c r="R27" s="36">
        <f t="shared" ref="R27:R35" si="10">R26-((R$26-R$36)/10)</f>
        <v>56.230000000000004</v>
      </c>
      <c r="S27" s="36">
        <f t="shared" ref="S27:S35" si="11">S26-((S$26-S$36)/10)</f>
        <v>65.87</v>
      </c>
      <c r="T27" s="36">
        <f t="shared" ref="T27:T35" si="12">T26-((T$26-T$36)/10)</f>
        <v>75.710000000000008</v>
      </c>
      <c r="U27" s="36">
        <f t="shared" ref="U27:U35" si="13">U26-((U$26-U$36)/10)</f>
        <v>89.199999999999989</v>
      </c>
      <c r="V27" s="37">
        <f t="shared" ref="V27:V35" si="14">V26-((V$26-V$36)/10)</f>
        <v>100.39</v>
      </c>
    </row>
    <row r="28" spans="1:22" x14ac:dyDescent="0.25">
      <c r="A28" s="24">
        <v>540</v>
      </c>
      <c r="B28" s="42" t="s">
        <v>135</v>
      </c>
      <c r="C28" s="56">
        <v>4.1100000000000003</v>
      </c>
      <c r="D28" s="57">
        <v>4.49</v>
      </c>
      <c r="E28" s="57">
        <v>5.85</v>
      </c>
      <c r="F28" s="57">
        <v>6.94</v>
      </c>
      <c r="G28" s="57">
        <v>8.14</v>
      </c>
      <c r="H28" s="57">
        <v>9.9700000000000006</v>
      </c>
      <c r="I28" s="58">
        <v>11.6</v>
      </c>
      <c r="J28" s="45"/>
      <c r="O28" s="34">
        <v>16</v>
      </c>
      <c r="P28" s="35"/>
      <c r="Q28" s="35"/>
      <c r="R28" s="36">
        <f t="shared" si="10"/>
        <v>55.360000000000007</v>
      </c>
      <c r="S28" s="36">
        <f t="shared" si="11"/>
        <v>64.84</v>
      </c>
      <c r="T28" s="36">
        <f t="shared" si="12"/>
        <v>74.52000000000001</v>
      </c>
      <c r="U28" s="36">
        <f t="shared" si="13"/>
        <v>87.799999999999983</v>
      </c>
      <c r="V28" s="37">
        <f t="shared" si="14"/>
        <v>98.78</v>
      </c>
    </row>
    <row r="29" spans="1:22" x14ac:dyDescent="0.25">
      <c r="A29" s="24">
        <v>720</v>
      </c>
      <c r="B29" s="42" t="s">
        <v>136</v>
      </c>
      <c r="C29" s="56">
        <v>3.4</v>
      </c>
      <c r="D29" s="57">
        <v>3.72</v>
      </c>
      <c r="E29" s="57">
        <v>4.8600000000000003</v>
      </c>
      <c r="F29" s="57">
        <v>5.75</v>
      </c>
      <c r="G29" s="57">
        <v>6.74</v>
      </c>
      <c r="H29" s="57">
        <v>8.26</v>
      </c>
      <c r="I29" s="58">
        <v>9.58</v>
      </c>
      <c r="J29" s="45"/>
      <c r="O29" s="34">
        <v>16.5</v>
      </c>
      <c r="P29" s="35"/>
      <c r="Q29" s="35"/>
      <c r="R29" s="36">
        <f t="shared" si="10"/>
        <v>54.490000000000009</v>
      </c>
      <c r="S29" s="36">
        <f t="shared" si="11"/>
        <v>63.81</v>
      </c>
      <c r="T29" s="36">
        <f t="shared" si="12"/>
        <v>73.330000000000013</v>
      </c>
      <c r="U29" s="36">
        <f t="shared" si="13"/>
        <v>86.399999999999977</v>
      </c>
      <c r="V29" s="37">
        <f t="shared" si="14"/>
        <v>97.17</v>
      </c>
    </row>
    <row r="30" spans="1:22" x14ac:dyDescent="0.25">
      <c r="A30" s="24">
        <v>1080</v>
      </c>
      <c r="B30" s="42" t="s">
        <v>137</v>
      </c>
      <c r="C30" s="56">
        <v>2.6</v>
      </c>
      <c r="D30" s="57">
        <v>2.85</v>
      </c>
      <c r="E30" s="57">
        <v>3.72</v>
      </c>
      <c r="F30" s="57">
        <v>4.3899999999999997</v>
      </c>
      <c r="G30" s="57">
        <v>5.12</v>
      </c>
      <c r="H30" s="57">
        <v>6.23</v>
      </c>
      <c r="I30" s="58">
        <v>7.2</v>
      </c>
      <c r="J30" s="45"/>
      <c r="O30" s="34">
        <v>17</v>
      </c>
      <c r="P30" s="35"/>
      <c r="Q30" s="35"/>
      <c r="R30" s="36">
        <f t="shared" si="10"/>
        <v>53.620000000000012</v>
      </c>
      <c r="S30" s="36">
        <f t="shared" si="11"/>
        <v>62.78</v>
      </c>
      <c r="T30" s="36">
        <f t="shared" si="12"/>
        <v>72.140000000000015</v>
      </c>
      <c r="U30" s="36">
        <f t="shared" si="13"/>
        <v>84.999999999999972</v>
      </c>
      <c r="V30" s="37">
        <f t="shared" si="14"/>
        <v>95.56</v>
      </c>
    </row>
    <row r="31" spans="1:22" x14ac:dyDescent="0.25">
      <c r="A31" s="24">
        <v>1440</v>
      </c>
      <c r="B31" s="42" t="s">
        <v>138</v>
      </c>
      <c r="C31" s="56">
        <v>2.15</v>
      </c>
      <c r="D31" s="57">
        <v>2.35</v>
      </c>
      <c r="E31" s="57">
        <v>3.06</v>
      </c>
      <c r="F31" s="57">
        <v>3.6</v>
      </c>
      <c r="G31" s="57">
        <v>4.17</v>
      </c>
      <c r="H31" s="57">
        <v>5.04</v>
      </c>
      <c r="I31" s="58">
        <v>5.79</v>
      </c>
      <c r="J31" s="45"/>
      <c r="O31" s="34">
        <v>17.5</v>
      </c>
      <c r="P31" s="35"/>
      <c r="Q31" s="35"/>
      <c r="R31" s="36">
        <f t="shared" si="10"/>
        <v>52.750000000000014</v>
      </c>
      <c r="S31" s="36">
        <f t="shared" si="11"/>
        <v>61.75</v>
      </c>
      <c r="T31" s="36">
        <f t="shared" si="12"/>
        <v>70.950000000000017</v>
      </c>
      <c r="U31" s="36">
        <f t="shared" si="13"/>
        <v>83.599999999999966</v>
      </c>
      <c r="V31" s="37">
        <f t="shared" si="14"/>
        <v>93.95</v>
      </c>
    </row>
    <row r="32" spans="1:22" x14ac:dyDescent="0.25">
      <c r="A32" s="24">
        <v>1800</v>
      </c>
      <c r="B32" s="42" t="s">
        <v>139</v>
      </c>
      <c r="C32" s="56">
        <v>1.85</v>
      </c>
      <c r="D32" s="57">
        <v>2.0299999999999998</v>
      </c>
      <c r="E32" s="57">
        <v>2.63</v>
      </c>
      <c r="F32" s="57">
        <v>3.07</v>
      </c>
      <c r="G32" s="57">
        <v>3.54</v>
      </c>
      <c r="H32" s="57">
        <v>4.25</v>
      </c>
      <c r="I32" s="58">
        <v>4.8499999999999996</v>
      </c>
      <c r="J32" s="45"/>
      <c r="O32" s="34">
        <v>18</v>
      </c>
      <c r="P32" s="35"/>
      <c r="Q32" s="35"/>
      <c r="R32" s="36">
        <f t="shared" si="10"/>
        <v>51.880000000000017</v>
      </c>
      <c r="S32" s="36">
        <f t="shared" si="11"/>
        <v>60.72</v>
      </c>
      <c r="T32" s="36">
        <f t="shared" si="12"/>
        <v>69.760000000000019</v>
      </c>
      <c r="U32" s="36">
        <f t="shared" si="13"/>
        <v>82.19999999999996</v>
      </c>
      <c r="V32" s="37">
        <f t="shared" si="14"/>
        <v>92.34</v>
      </c>
    </row>
    <row r="33" spans="1:22" x14ac:dyDescent="0.25">
      <c r="A33" s="24">
        <v>2160</v>
      </c>
      <c r="B33" s="42" t="s">
        <v>140</v>
      </c>
      <c r="C33" s="56">
        <v>1.63</v>
      </c>
      <c r="D33" s="57">
        <v>1.79</v>
      </c>
      <c r="E33" s="57">
        <v>2.3199999999999998</v>
      </c>
      <c r="F33" s="57">
        <v>2.7</v>
      </c>
      <c r="G33" s="57">
        <v>3.09</v>
      </c>
      <c r="H33" s="57">
        <v>3.68</v>
      </c>
      <c r="I33" s="58">
        <v>4.17</v>
      </c>
      <c r="J33" s="45"/>
      <c r="O33" s="34">
        <v>18.5</v>
      </c>
      <c r="P33" s="35"/>
      <c r="Q33" s="35"/>
      <c r="R33" s="36">
        <f t="shared" si="10"/>
        <v>51.010000000000019</v>
      </c>
      <c r="S33" s="36">
        <f t="shared" si="11"/>
        <v>59.69</v>
      </c>
      <c r="T33" s="36">
        <f t="shared" si="12"/>
        <v>68.570000000000022</v>
      </c>
      <c r="U33" s="36">
        <f t="shared" si="13"/>
        <v>80.799999999999955</v>
      </c>
      <c r="V33" s="37">
        <f t="shared" si="14"/>
        <v>90.73</v>
      </c>
    </row>
    <row r="34" spans="1:22" x14ac:dyDescent="0.25">
      <c r="A34" s="24">
        <v>2880</v>
      </c>
      <c r="B34" s="42" t="s">
        <v>141</v>
      </c>
      <c r="C34" s="56">
        <v>1.34</v>
      </c>
      <c r="D34" s="57">
        <v>1.47</v>
      </c>
      <c r="E34" s="57">
        <v>1.89</v>
      </c>
      <c r="F34" s="57">
        <v>2.19</v>
      </c>
      <c r="G34" s="57">
        <v>2.48</v>
      </c>
      <c r="H34" s="57">
        <v>2.92</v>
      </c>
      <c r="I34" s="58">
        <v>3.27</v>
      </c>
      <c r="J34" s="45"/>
      <c r="O34" s="34">
        <v>19</v>
      </c>
      <c r="P34" s="36"/>
      <c r="Q34" s="35"/>
      <c r="R34" s="36">
        <f t="shared" si="10"/>
        <v>50.140000000000022</v>
      </c>
      <c r="S34" s="36">
        <f t="shared" si="11"/>
        <v>58.66</v>
      </c>
      <c r="T34" s="36">
        <f t="shared" si="12"/>
        <v>67.380000000000024</v>
      </c>
      <c r="U34" s="36">
        <f t="shared" si="13"/>
        <v>79.399999999999949</v>
      </c>
      <c r="V34" s="37">
        <f t="shared" si="14"/>
        <v>89.12</v>
      </c>
    </row>
    <row r="35" spans="1:22" x14ac:dyDescent="0.25">
      <c r="A35" s="24">
        <v>4320</v>
      </c>
      <c r="B35" s="42" t="s">
        <v>142</v>
      </c>
      <c r="C35" s="56">
        <v>1.02</v>
      </c>
      <c r="D35" s="57">
        <v>1.1200000000000001</v>
      </c>
      <c r="E35" s="57">
        <v>1.43</v>
      </c>
      <c r="F35" s="57">
        <v>1.63</v>
      </c>
      <c r="G35" s="57">
        <v>1.82</v>
      </c>
      <c r="H35" s="57">
        <v>2.1</v>
      </c>
      <c r="I35" s="58">
        <v>2.3199999999999998</v>
      </c>
      <c r="J35" s="45"/>
      <c r="O35" s="34">
        <v>19.5</v>
      </c>
      <c r="P35" s="35"/>
      <c r="Q35" s="35"/>
      <c r="R35" s="36">
        <f t="shared" si="10"/>
        <v>49.270000000000024</v>
      </c>
      <c r="S35" s="36">
        <f t="shared" si="11"/>
        <v>57.629999999999995</v>
      </c>
      <c r="T35" s="36">
        <f t="shared" si="12"/>
        <v>66.190000000000026</v>
      </c>
      <c r="U35" s="36">
        <f t="shared" si="13"/>
        <v>77.999999999999943</v>
      </c>
      <c r="V35" s="37">
        <f t="shared" si="14"/>
        <v>87.51</v>
      </c>
    </row>
    <row r="36" spans="1:22" x14ac:dyDescent="0.25">
      <c r="A36" s="24">
        <v>5760</v>
      </c>
      <c r="B36" s="42" t="s">
        <v>143</v>
      </c>
      <c r="C36" s="56">
        <v>0.84699999999999998</v>
      </c>
      <c r="D36" s="57">
        <v>0.92800000000000005</v>
      </c>
      <c r="E36" s="57">
        <v>1.17</v>
      </c>
      <c r="F36" s="57">
        <v>1.33</v>
      </c>
      <c r="G36" s="57">
        <v>1.48</v>
      </c>
      <c r="H36" s="57">
        <v>1.69</v>
      </c>
      <c r="I36" s="58">
        <v>1.85</v>
      </c>
      <c r="J36" s="45"/>
      <c r="O36" s="34">
        <v>20</v>
      </c>
      <c r="P36" s="35"/>
      <c r="Q36" s="35"/>
      <c r="R36" s="36">
        <f>E18</f>
        <v>48.4</v>
      </c>
      <c r="S36" s="46">
        <f>F18</f>
        <v>56.6</v>
      </c>
      <c r="T36" s="46">
        <f>G18</f>
        <v>65</v>
      </c>
      <c r="U36" s="36">
        <f>H18</f>
        <v>76.599999999999994</v>
      </c>
      <c r="V36" s="37">
        <f>I18</f>
        <v>85.9</v>
      </c>
    </row>
    <row r="37" spans="1:22" x14ac:dyDescent="0.25">
      <c r="A37" s="24">
        <v>7200</v>
      </c>
      <c r="B37" s="42" t="s">
        <v>144</v>
      </c>
      <c r="C37" s="56">
        <v>0.73599999999999999</v>
      </c>
      <c r="D37" s="57">
        <v>0.80500000000000005</v>
      </c>
      <c r="E37" s="57">
        <v>1.01</v>
      </c>
      <c r="F37" s="57">
        <v>1.1499999999999999</v>
      </c>
      <c r="G37" s="57">
        <v>1.27</v>
      </c>
      <c r="H37" s="57">
        <v>1.45</v>
      </c>
      <c r="I37" s="58">
        <v>1.58</v>
      </c>
      <c r="J37" s="45"/>
      <c r="O37" s="34">
        <v>20.5</v>
      </c>
      <c r="P37" s="47"/>
      <c r="Q37" s="35"/>
      <c r="R37" s="36">
        <f t="shared" ref="R37:R45" si="15">R36-((R$36-R$46)/10)</f>
        <v>47.79</v>
      </c>
      <c r="S37" s="36">
        <f t="shared" ref="S37:S45" si="16">S36-((S$36-S$46)/10)</f>
        <v>55.89</v>
      </c>
      <c r="T37" s="36">
        <f t="shared" ref="T37:T45" si="17">T36-((T$36-T$46)/10)</f>
        <v>64.180000000000007</v>
      </c>
      <c r="U37" s="36">
        <f t="shared" ref="U37:U45" si="18">U36-((U$36-U$46)/10)</f>
        <v>75.63</v>
      </c>
      <c r="V37" s="37">
        <f t="shared" ref="V37:V45" si="19">V36-((V$36-V$46)/10)</f>
        <v>84.81</v>
      </c>
    </row>
    <row r="38" spans="1:22" x14ac:dyDescent="0.25">
      <c r="A38" s="24">
        <v>8640</v>
      </c>
      <c r="B38" s="42" t="s">
        <v>145</v>
      </c>
      <c r="C38" s="56">
        <v>0.65900000000000003</v>
      </c>
      <c r="D38" s="57">
        <v>0.72099999999999997</v>
      </c>
      <c r="E38" s="57">
        <v>0.90700000000000003</v>
      </c>
      <c r="F38" s="57">
        <v>1.03</v>
      </c>
      <c r="G38" s="57">
        <v>1.1399999999999999</v>
      </c>
      <c r="H38" s="57">
        <v>1.3</v>
      </c>
      <c r="I38" s="58">
        <v>1.42</v>
      </c>
      <c r="J38" s="45"/>
      <c r="O38" s="34">
        <v>21</v>
      </c>
      <c r="P38" s="35"/>
      <c r="Q38" s="35"/>
      <c r="R38" s="36">
        <f t="shared" si="15"/>
        <v>47.18</v>
      </c>
      <c r="S38" s="36">
        <f t="shared" si="16"/>
        <v>55.18</v>
      </c>
      <c r="T38" s="36">
        <f t="shared" si="17"/>
        <v>63.360000000000007</v>
      </c>
      <c r="U38" s="36">
        <f t="shared" si="18"/>
        <v>74.66</v>
      </c>
      <c r="V38" s="37">
        <f t="shared" si="19"/>
        <v>83.72</v>
      </c>
    </row>
    <row r="39" spans="1:22" ht="15.75" thickBot="1" x14ac:dyDescent="0.3">
      <c r="A39" s="24">
        <v>10080</v>
      </c>
      <c r="B39" s="42" t="s">
        <v>146</v>
      </c>
      <c r="C39" s="59">
        <v>0.60399999999999998</v>
      </c>
      <c r="D39" s="60">
        <v>0.65900000000000003</v>
      </c>
      <c r="E39" s="60">
        <v>0.83099999999999996</v>
      </c>
      <c r="F39" s="60">
        <v>0.94499999999999995</v>
      </c>
      <c r="G39" s="60">
        <v>1.06</v>
      </c>
      <c r="H39" s="60">
        <v>1.21</v>
      </c>
      <c r="I39" s="61">
        <v>1.32</v>
      </c>
      <c r="J39" s="45"/>
      <c r="O39" s="34">
        <v>21.5</v>
      </c>
      <c r="P39" s="46"/>
      <c r="Q39" s="35"/>
      <c r="R39" s="36">
        <f t="shared" si="15"/>
        <v>46.57</v>
      </c>
      <c r="S39" s="36">
        <f t="shared" si="16"/>
        <v>54.47</v>
      </c>
      <c r="T39" s="36">
        <f t="shared" si="17"/>
        <v>62.540000000000006</v>
      </c>
      <c r="U39" s="36">
        <f t="shared" si="18"/>
        <v>73.69</v>
      </c>
      <c r="V39" s="37">
        <f t="shared" si="19"/>
        <v>82.63</v>
      </c>
    </row>
    <row r="40" spans="1:22" ht="15.75" thickTop="1" x14ac:dyDescent="0.25">
      <c r="B40" s="358"/>
      <c r="C40" s="358"/>
      <c r="D40" s="358"/>
      <c r="E40" s="358"/>
      <c r="F40" s="358"/>
      <c r="G40" s="358"/>
      <c r="H40" s="358"/>
      <c r="I40" s="358"/>
      <c r="J40" s="45"/>
      <c r="O40" s="34">
        <v>22</v>
      </c>
      <c r="P40" s="46"/>
      <c r="Q40" s="35"/>
      <c r="R40" s="36">
        <f t="shared" si="15"/>
        <v>45.96</v>
      </c>
      <c r="S40" s="36">
        <f t="shared" si="16"/>
        <v>53.76</v>
      </c>
      <c r="T40" s="36">
        <f t="shared" si="17"/>
        <v>61.720000000000006</v>
      </c>
      <c r="U40" s="36">
        <f t="shared" si="18"/>
        <v>72.72</v>
      </c>
      <c r="V40" s="37">
        <f t="shared" si="19"/>
        <v>81.539999999999992</v>
      </c>
    </row>
    <row r="41" spans="1:22" x14ac:dyDescent="0.25">
      <c r="J41" s="45"/>
      <c r="O41" s="34">
        <v>22.5</v>
      </c>
      <c r="P41" s="46"/>
      <c r="Q41" s="35"/>
      <c r="R41" s="36">
        <f t="shared" si="15"/>
        <v>45.35</v>
      </c>
      <c r="S41" s="36">
        <f t="shared" si="16"/>
        <v>53.05</v>
      </c>
      <c r="T41" s="36">
        <f t="shared" si="17"/>
        <v>60.900000000000006</v>
      </c>
      <c r="U41" s="36">
        <f t="shared" si="18"/>
        <v>71.75</v>
      </c>
      <c r="V41" s="37">
        <f t="shared" si="19"/>
        <v>80.449999999999989</v>
      </c>
    </row>
    <row r="42" spans="1:22" x14ac:dyDescent="0.25">
      <c r="B42" s="44"/>
      <c r="C42" s="45"/>
      <c r="D42" s="45"/>
      <c r="E42" s="45"/>
      <c r="F42" s="45"/>
      <c r="G42" s="45"/>
      <c r="H42" s="45"/>
      <c r="I42" s="45"/>
      <c r="J42" s="45"/>
      <c r="O42" s="34">
        <v>23</v>
      </c>
      <c r="P42" s="46"/>
      <c r="Q42" s="35"/>
      <c r="R42" s="36">
        <f t="shared" si="15"/>
        <v>44.74</v>
      </c>
      <c r="S42" s="36">
        <f t="shared" si="16"/>
        <v>52.339999999999996</v>
      </c>
      <c r="T42" s="36">
        <f t="shared" si="17"/>
        <v>60.080000000000005</v>
      </c>
      <c r="U42" s="36">
        <f t="shared" si="18"/>
        <v>70.78</v>
      </c>
      <c r="V42" s="37">
        <f t="shared" si="19"/>
        <v>79.359999999999985</v>
      </c>
    </row>
    <row r="43" spans="1:22" x14ac:dyDescent="0.25">
      <c r="B43" s="44"/>
      <c r="C43" s="45"/>
      <c r="D43" s="45"/>
      <c r="E43" s="45"/>
      <c r="F43" s="45"/>
      <c r="G43" s="45"/>
      <c r="H43" s="45"/>
      <c r="I43" s="45"/>
      <c r="J43" s="45"/>
      <c r="O43" s="34">
        <v>23.5</v>
      </c>
      <c r="P43" s="35"/>
      <c r="Q43" s="35"/>
      <c r="R43" s="36">
        <f t="shared" si="15"/>
        <v>44.13</v>
      </c>
      <c r="S43" s="36">
        <f t="shared" si="16"/>
        <v>51.629999999999995</v>
      </c>
      <c r="T43" s="36">
        <f t="shared" si="17"/>
        <v>59.260000000000005</v>
      </c>
      <c r="U43" s="36">
        <f t="shared" si="18"/>
        <v>69.81</v>
      </c>
      <c r="V43" s="37">
        <f t="shared" si="19"/>
        <v>78.269999999999982</v>
      </c>
    </row>
    <row r="44" spans="1:22" x14ac:dyDescent="0.25">
      <c r="B44" s="44"/>
      <c r="C44" s="45"/>
      <c r="D44" s="45"/>
      <c r="E44" s="45"/>
      <c r="F44" s="45"/>
      <c r="G44" s="45"/>
      <c r="H44" s="45"/>
      <c r="I44" s="45"/>
      <c r="J44" s="45"/>
      <c r="O44" s="34">
        <v>24</v>
      </c>
      <c r="P44" s="35"/>
      <c r="Q44" s="35"/>
      <c r="R44" s="36">
        <f t="shared" si="15"/>
        <v>43.52</v>
      </c>
      <c r="S44" s="36">
        <f t="shared" si="16"/>
        <v>50.919999999999995</v>
      </c>
      <c r="T44" s="36">
        <f t="shared" si="17"/>
        <v>58.440000000000005</v>
      </c>
      <c r="U44" s="36">
        <f t="shared" si="18"/>
        <v>68.84</v>
      </c>
      <c r="V44" s="37">
        <f t="shared" si="19"/>
        <v>77.179999999999978</v>
      </c>
    </row>
    <row r="45" spans="1:22" x14ac:dyDescent="0.25">
      <c r="B45" s="44"/>
      <c r="C45" s="45"/>
      <c r="D45" s="45"/>
      <c r="E45" s="45"/>
      <c r="F45" s="45"/>
      <c r="G45" s="45"/>
      <c r="H45" s="45"/>
      <c r="I45" s="45"/>
      <c r="J45" s="45"/>
      <c r="N45" s="48"/>
      <c r="O45" s="34">
        <v>24.5</v>
      </c>
      <c r="P45" s="35"/>
      <c r="Q45" s="35"/>
      <c r="R45" s="36">
        <f t="shared" si="15"/>
        <v>42.910000000000004</v>
      </c>
      <c r="S45" s="36">
        <f t="shared" si="16"/>
        <v>50.209999999999994</v>
      </c>
      <c r="T45" s="36">
        <f t="shared" si="17"/>
        <v>57.620000000000005</v>
      </c>
      <c r="U45" s="36">
        <f t="shared" si="18"/>
        <v>67.87</v>
      </c>
      <c r="V45" s="37">
        <f t="shared" si="19"/>
        <v>76.089999999999975</v>
      </c>
    </row>
    <row r="46" spans="1:22" x14ac:dyDescent="0.25">
      <c r="B46" s="44"/>
      <c r="C46" s="45"/>
      <c r="D46" s="45"/>
      <c r="E46" s="45"/>
      <c r="F46" s="45"/>
      <c r="G46" s="45"/>
      <c r="H46" s="45"/>
      <c r="I46" s="45"/>
      <c r="J46" s="45"/>
      <c r="N46" s="48"/>
      <c r="O46" s="34">
        <v>25</v>
      </c>
      <c r="P46" s="35"/>
      <c r="Q46" s="35"/>
      <c r="R46" s="36">
        <f>E19</f>
        <v>42.3</v>
      </c>
      <c r="S46" s="36">
        <f>F19</f>
        <v>49.5</v>
      </c>
      <c r="T46" s="36">
        <f>G19</f>
        <v>56.8</v>
      </c>
      <c r="U46" s="36">
        <f>H19</f>
        <v>66.900000000000006</v>
      </c>
      <c r="V46" s="37">
        <f>I19</f>
        <v>75</v>
      </c>
    </row>
    <row r="47" spans="1:22" x14ac:dyDescent="0.25">
      <c r="B47" s="44"/>
      <c r="C47" s="45"/>
      <c r="D47" s="45"/>
      <c r="E47" s="45"/>
      <c r="F47" s="45"/>
      <c r="G47" s="45"/>
      <c r="H47" s="45"/>
      <c r="I47" s="45"/>
      <c r="J47" s="45"/>
      <c r="M47" s="44"/>
      <c r="N47" s="48"/>
      <c r="O47" s="34">
        <v>25.5</v>
      </c>
      <c r="P47" s="35"/>
      <c r="Q47" s="35"/>
      <c r="R47" s="36">
        <f t="shared" ref="R47:R55" si="20">R46-((R$46-R$56)/10)</f>
        <v>41.849999999999994</v>
      </c>
      <c r="S47" s="36">
        <f t="shared" ref="S47:S55" si="21">S46-((S$46-S$56)/10)</f>
        <v>48.97</v>
      </c>
      <c r="T47" s="36">
        <f t="shared" ref="T47:T55" si="22">T46-((T$46-T$56)/10)</f>
        <v>56.19</v>
      </c>
      <c r="U47" s="36">
        <f t="shared" ref="U47:U55" si="23">U46-((U$46-U$56)/10)</f>
        <v>66.180000000000007</v>
      </c>
      <c r="V47" s="37">
        <f t="shared" ref="V47:V55" si="24">V46-((V$46-V$56)/10)</f>
        <v>74.2</v>
      </c>
    </row>
    <row r="48" spans="1:22" x14ac:dyDescent="0.25">
      <c r="B48" s="44"/>
      <c r="C48" s="45"/>
      <c r="D48" s="45"/>
      <c r="E48" s="45"/>
      <c r="F48" s="45"/>
      <c r="G48" s="45"/>
      <c r="H48" s="45"/>
      <c r="I48" s="45"/>
      <c r="J48" s="45"/>
      <c r="M48" s="44"/>
      <c r="N48" s="48"/>
      <c r="O48" s="34">
        <v>26</v>
      </c>
      <c r="P48" s="35"/>
      <c r="Q48" s="35"/>
      <c r="R48" s="36">
        <f t="shared" si="20"/>
        <v>41.399999999999991</v>
      </c>
      <c r="S48" s="36">
        <f t="shared" si="21"/>
        <v>48.44</v>
      </c>
      <c r="T48" s="36">
        <f t="shared" si="22"/>
        <v>55.58</v>
      </c>
      <c r="U48" s="36">
        <f t="shared" si="23"/>
        <v>65.460000000000008</v>
      </c>
      <c r="V48" s="37">
        <f t="shared" si="24"/>
        <v>73.400000000000006</v>
      </c>
    </row>
    <row r="49" spans="2:22" x14ac:dyDescent="0.25">
      <c r="B49" s="44"/>
      <c r="C49" s="45"/>
      <c r="D49" s="45"/>
      <c r="E49" s="45"/>
      <c r="F49" s="45"/>
      <c r="G49" s="45"/>
      <c r="H49" s="45"/>
      <c r="I49" s="45"/>
      <c r="J49" s="45"/>
      <c r="M49" s="44"/>
      <c r="N49" s="48"/>
      <c r="O49" s="34">
        <v>26.5</v>
      </c>
      <c r="P49" s="35"/>
      <c r="Q49" s="35"/>
      <c r="R49" s="36">
        <f t="shared" si="20"/>
        <v>40.949999999999989</v>
      </c>
      <c r="S49" s="36">
        <f t="shared" si="21"/>
        <v>47.91</v>
      </c>
      <c r="T49" s="36">
        <f t="shared" si="22"/>
        <v>54.97</v>
      </c>
      <c r="U49" s="36">
        <f t="shared" si="23"/>
        <v>64.740000000000009</v>
      </c>
      <c r="V49" s="37">
        <f t="shared" si="24"/>
        <v>72.600000000000009</v>
      </c>
    </row>
    <row r="50" spans="2:22" x14ac:dyDescent="0.25">
      <c r="B50" s="44"/>
      <c r="C50" s="45"/>
      <c r="D50" s="45"/>
      <c r="E50" s="45"/>
      <c r="F50" s="45"/>
      <c r="G50" s="45"/>
      <c r="H50" s="45"/>
      <c r="I50" s="45"/>
      <c r="J50" s="45"/>
      <c r="M50" s="44"/>
      <c r="N50" s="48"/>
      <c r="O50" s="34">
        <v>27</v>
      </c>
      <c r="P50" s="35"/>
      <c r="Q50" s="35"/>
      <c r="R50" s="36">
        <f t="shared" si="20"/>
        <v>40.499999999999986</v>
      </c>
      <c r="S50" s="36">
        <f t="shared" si="21"/>
        <v>47.379999999999995</v>
      </c>
      <c r="T50" s="36">
        <f t="shared" si="22"/>
        <v>54.36</v>
      </c>
      <c r="U50" s="36">
        <f t="shared" si="23"/>
        <v>64.02000000000001</v>
      </c>
      <c r="V50" s="37">
        <f t="shared" si="24"/>
        <v>71.800000000000011</v>
      </c>
    </row>
    <row r="51" spans="2:22" x14ac:dyDescent="0.25">
      <c r="B51" s="44"/>
      <c r="C51" s="45"/>
      <c r="D51" s="45"/>
      <c r="E51" s="45"/>
      <c r="F51" s="45"/>
      <c r="G51" s="45"/>
      <c r="H51" s="45"/>
      <c r="I51" s="45"/>
      <c r="J51" s="45"/>
      <c r="M51" s="44"/>
      <c r="N51" s="48"/>
      <c r="O51" s="34">
        <v>27.5</v>
      </c>
      <c r="P51" s="35"/>
      <c r="Q51" s="35"/>
      <c r="R51" s="36">
        <f t="shared" si="20"/>
        <v>40.049999999999983</v>
      </c>
      <c r="S51" s="36">
        <f t="shared" si="21"/>
        <v>46.849999999999994</v>
      </c>
      <c r="T51" s="36">
        <f t="shared" si="22"/>
        <v>53.75</v>
      </c>
      <c r="U51" s="36">
        <f t="shared" si="23"/>
        <v>63.300000000000011</v>
      </c>
      <c r="V51" s="37">
        <f t="shared" si="24"/>
        <v>71.000000000000014</v>
      </c>
    </row>
    <row r="52" spans="2:22" x14ac:dyDescent="0.25">
      <c r="B52" s="44"/>
      <c r="C52" s="45"/>
      <c r="D52" s="45"/>
      <c r="E52" s="45"/>
      <c r="F52" s="45"/>
      <c r="G52" s="45"/>
      <c r="H52" s="45"/>
      <c r="I52" s="45"/>
      <c r="J52" s="45"/>
      <c r="M52" s="44"/>
      <c r="N52" s="48"/>
      <c r="O52" s="34">
        <v>28</v>
      </c>
      <c r="P52" s="35"/>
      <c r="Q52" s="35"/>
      <c r="R52" s="36">
        <f t="shared" si="20"/>
        <v>39.59999999999998</v>
      </c>
      <c r="S52" s="36">
        <f t="shared" si="21"/>
        <v>46.319999999999993</v>
      </c>
      <c r="T52" s="36">
        <f t="shared" si="22"/>
        <v>53.14</v>
      </c>
      <c r="U52" s="36">
        <f t="shared" si="23"/>
        <v>62.580000000000013</v>
      </c>
      <c r="V52" s="37">
        <f t="shared" si="24"/>
        <v>70.200000000000017</v>
      </c>
    </row>
    <row r="53" spans="2:22" x14ac:dyDescent="0.25">
      <c r="B53" s="44"/>
      <c r="C53" s="45"/>
      <c r="D53" s="45"/>
      <c r="E53" s="45"/>
      <c r="F53" s="45"/>
      <c r="G53" s="45"/>
      <c r="H53" s="45"/>
      <c r="I53" s="45"/>
      <c r="J53" s="45"/>
      <c r="M53" s="44"/>
      <c r="N53" s="48"/>
      <c r="O53" s="34">
        <v>28.5</v>
      </c>
      <c r="P53" s="35"/>
      <c r="Q53" s="35"/>
      <c r="R53" s="36">
        <f t="shared" si="20"/>
        <v>39.149999999999977</v>
      </c>
      <c r="S53" s="36">
        <f t="shared" si="21"/>
        <v>45.789999999999992</v>
      </c>
      <c r="T53" s="36">
        <f t="shared" si="22"/>
        <v>52.53</v>
      </c>
      <c r="U53" s="36">
        <f t="shared" si="23"/>
        <v>61.860000000000014</v>
      </c>
      <c r="V53" s="37">
        <f t="shared" si="24"/>
        <v>69.40000000000002</v>
      </c>
    </row>
    <row r="54" spans="2:22" x14ac:dyDescent="0.25">
      <c r="B54" s="44"/>
      <c r="C54" s="45"/>
      <c r="D54" s="45"/>
      <c r="E54" s="45"/>
      <c r="F54" s="45"/>
      <c r="G54" s="45"/>
      <c r="H54" s="45"/>
      <c r="I54" s="45"/>
      <c r="J54" s="45"/>
      <c r="M54" s="44"/>
      <c r="N54" s="48"/>
      <c r="O54" s="34">
        <v>29</v>
      </c>
      <c r="P54" s="35"/>
      <c r="Q54" s="35"/>
      <c r="R54" s="36">
        <f t="shared" si="20"/>
        <v>38.699999999999974</v>
      </c>
      <c r="S54" s="36">
        <f t="shared" si="21"/>
        <v>45.259999999999991</v>
      </c>
      <c r="T54" s="36">
        <f t="shared" si="22"/>
        <v>51.92</v>
      </c>
      <c r="U54" s="36">
        <f t="shared" si="23"/>
        <v>61.140000000000015</v>
      </c>
      <c r="V54" s="37">
        <f t="shared" si="24"/>
        <v>68.600000000000023</v>
      </c>
    </row>
    <row r="55" spans="2:22" x14ac:dyDescent="0.25">
      <c r="B55" s="44"/>
      <c r="C55" s="45"/>
      <c r="D55" s="45"/>
      <c r="E55" s="45"/>
      <c r="F55" s="45"/>
      <c r="G55" s="45"/>
      <c r="H55" s="45"/>
      <c r="I55" s="45"/>
      <c r="J55" s="45"/>
      <c r="O55" s="34">
        <v>29.5</v>
      </c>
      <c r="P55" s="35"/>
      <c r="Q55" s="35"/>
      <c r="R55" s="36">
        <f t="shared" si="20"/>
        <v>38.249999999999972</v>
      </c>
      <c r="S55" s="36">
        <f t="shared" si="21"/>
        <v>44.72999999999999</v>
      </c>
      <c r="T55" s="36">
        <f t="shared" si="22"/>
        <v>51.31</v>
      </c>
      <c r="U55" s="36">
        <f t="shared" si="23"/>
        <v>60.420000000000016</v>
      </c>
      <c r="V55" s="37">
        <f t="shared" si="24"/>
        <v>67.800000000000026</v>
      </c>
    </row>
    <row r="56" spans="2:22" x14ac:dyDescent="0.25">
      <c r="O56" s="34">
        <v>30</v>
      </c>
      <c r="P56" s="35"/>
      <c r="Q56" s="35"/>
      <c r="R56" s="36">
        <f>E20</f>
        <v>37.799999999999997</v>
      </c>
      <c r="S56" s="36">
        <f>F20</f>
        <v>44.2</v>
      </c>
      <c r="T56" s="36">
        <f>G20</f>
        <v>50.7</v>
      </c>
      <c r="U56" s="36">
        <f>H20</f>
        <v>59.7</v>
      </c>
      <c r="V56" s="37">
        <f>I20</f>
        <v>67</v>
      </c>
    </row>
    <row r="57" spans="2:22" x14ac:dyDescent="0.25">
      <c r="O57" s="34">
        <v>35</v>
      </c>
      <c r="P57" s="35"/>
      <c r="Q57" s="35"/>
      <c r="R57" s="36">
        <f t="shared" ref="R57:V58" si="25">R56-((R$56-R$59)/3)</f>
        <v>34.93333333333333</v>
      </c>
      <c r="S57" s="36">
        <f t="shared" si="25"/>
        <v>40.833333333333336</v>
      </c>
      <c r="T57" s="36">
        <f t="shared" si="25"/>
        <v>46.866666666666667</v>
      </c>
      <c r="U57" s="36">
        <f t="shared" si="25"/>
        <v>55.2</v>
      </c>
      <c r="V57" s="37">
        <f t="shared" si="25"/>
        <v>62</v>
      </c>
    </row>
    <row r="58" spans="2:22" x14ac:dyDescent="0.25">
      <c r="O58" s="34">
        <v>40</v>
      </c>
      <c r="P58" s="35"/>
      <c r="Q58" s="35"/>
      <c r="R58" s="36">
        <f t="shared" si="25"/>
        <v>32.066666666666663</v>
      </c>
      <c r="S58" s="36">
        <f t="shared" si="25"/>
        <v>37.466666666666669</v>
      </c>
      <c r="T58" s="36">
        <f t="shared" si="25"/>
        <v>43.033333333333331</v>
      </c>
      <c r="U58" s="36">
        <f t="shared" si="25"/>
        <v>50.7</v>
      </c>
      <c r="V58" s="37">
        <f t="shared" si="25"/>
        <v>57</v>
      </c>
    </row>
    <row r="59" spans="2:22" x14ac:dyDescent="0.25">
      <c r="O59" s="34">
        <v>45</v>
      </c>
      <c r="P59" s="35"/>
      <c r="Q59" s="35"/>
      <c r="R59" s="36">
        <f>E21</f>
        <v>29.2</v>
      </c>
      <c r="S59" s="36">
        <f>F21</f>
        <v>34.1</v>
      </c>
      <c r="T59" s="36">
        <f>G21</f>
        <v>39.200000000000003</v>
      </c>
      <c r="U59" s="36">
        <f>H21</f>
        <v>46.2</v>
      </c>
      <c r="V59" s="37">
        <f>I21</f>
        <v>52</v>
      </c>
    </row>
    <row r="60" spans="2:22" x14ac:dyDescent="0.25">
      <c r="O60" s="34">
        <v>50</v>
      </c>
      <c r="P60" s="35"/>
      <c r="Q60" s="35"/>
      <c r="R60" s="36">
        <f t="shared" ref="R60:V61" si="26">R59-((R$59-R$62)/3)</f>
        <v>27.566666666666666</v>
      </c>
      <c r="S60" s="36">
        <f t="shared" si="26"/>
        <v>32.166666666666671</v>
      </c>
      <c r="T60" s="36">
        <f t="shared" si="26"/>
        <v>36.966666666666669</v>
      </c>
      <c r="U60" s="36">
        <f t="shared" si="26"/>
        <v>43.633333333333333</v>
      </c>
      <c r="V60" s="37">
        <f t="shared" si="26"/>
        <v>49.133333333333333</v>
      </c>
    </row>
    <row r="61" spans="2:22" x14ac:dyDescent="0.25">
      <c r="O61" s="34">
        <v>55</v>
      </c>
      <c r="P61" s="35"/>
      <c r="Q61" s="35"/>
      <c r="R61" s="36">
        <f t="shared" si="26"/>
        <v>25.933333333333334</v>
      </c>
      <c r="S61" s="36">
        <f t="shared" si="26"/>
        <v>30.233333333333338</v>
      </c>
      <c r="T61" s="36">
        <f t="shared" si="26"/>
        <v>34.733333333333334</v>
      </c>
      <c r="U61" s="36">
        <f t="shared" si="26"/>
        <v>41.066666666666663</v>
      </c>
      <c r="V61" s="37">
        <f t="shared" si="26"/>
        <v>46.266666666666666</v>
      </c>
    </row>
    <row r="62" spans="2:22" x14ac:dyDescent="0.25">
      <c r="O62" s="34">
        <v>60</v>
      </c>
      <c r="P62" s="35"/>
      <c r="Q62" s="35"/>
      <c r="R62" s="36">
        <f>E22</f>
        <v>24.3</v>
      </c>
      <c r="S62" s="36">
        <f>F22</f>
        <v>28.3</v>
      </c>
      <c r="T62" s="36">
        <f>G22</f>
        <v>32.5</v>
      </c>
      <c r="U62" s="36">
        <f>H22</f>
        <v>38.5</v>
      </c>
      <c r="V62" s="37">
        <f>I22</f>
        <v>43.4</v>
      </c>
    </row>
    <row r="63" spans="2:22" x14ac:dyDescent="0.25">
      <c r="O63" s="34">
        <v>65</v>
      </c>
      <c r="P63" s="35"/>
      <c r="Q63" s="35"/>
      <c r="R63" s="36">
        <f>R62-((R$62-R$68)/6)</f>
        <v>23.35</v>
      </c>
      <c r="S63" s="36">
        <f>S62-((R$62-R$68)/6)</f>
        <v>27.35</v>
      </c>
      <c r="T63" s="36">
        <f>T62-((R$62-R$68)/6)</f>
        <v>31.55</v>
      </c>
      <c r="U63" s="36">
        <f>U62-((R$62-R$68)/6)</f>
        <v>37.549999999999997</v>
      </c>
      <c r="V63" s="37">
        <f>V62-((R$62-R$68)/6)</f>
        <v>42.449999999999996</v>
      </c>
    </row>
    <row r="64" spans="2:22" x14ac:dyDescent="0.25">
      <c r="O64" s="34">
        <v>70</v>
      </c>
      <c r="P64" s="35"/>
      <c r="Q64" s="35"/>
      <c r="R64" s="36">
        <f>R63-((R$62-R$68)/6)</f>
        <v>22.400000000000002</v>
      </c>
      <c r="S64" s="36">
        <f>S63-((R$62-R$68)/6)</f>
        <v>26.400000000000002</v>
      </c>
      <c r="T64" s="36">
        <f>T63-((R$62-R$68)/6)</f>
        <v>30.6</v>
      </c>
      <c r="U64" s="36">
        <f>U63-((R$62-R$68)/6)</f>
        <v>36.599999999999994</v>
      </c>
      <c r="V64" s="37">
        <f>V63-((R$62-R$68)/6)</f>
        <v>41.499999999999993</v>
      </c>
    </row>
    <row r="65" spans="15:22" x14ac:dyDescent="0.25">
      <c r="O65" s="34">
        <v>75</v>
      </c>
      <c r="P65" s="35"/>
      <c r="Q65" s="35"/>
      <c r="R65" s="36">
        <f>R64-((R$62-R$68)/6)</f>
        <v>21.450000000000003</v>
      </c>
      <c r="S65" s="36">
        <f>S64-((R$62-R$68)/6)</f>
        <v>25.450000000000003</v>
      </c>
      <c r="T65" s="36">
        <f>T64-((R$62-R$68)/6)</f>
        <v>29.650000000000002</v>
      </c>
      <c r="U65" s="36">
        <f>U64-((R$62-R$68)/6)</f>
        <v>35.649999999999991</v>
      </c>
      <c r="V65" s="37">
        <f>V64-((R$62-R$68)/6)</f>
        <v>40.54999999999999</v>
      </c>
    </row>
    <row r="66" spans="15:22" x14ac:dyDescent="0.25">
      <c r="O66" s="34">
        <v>80</v>
      </c>
      <c r="P66" s="35"/>
      <c r="Q66" s="35"/>
      <c r="R66" s="36">
        <f>R65-((R$62-R$68)/6)</f>
        <v>20.500000000000004</v>
      </c>
      <c r="S66" s="36">
        <f>S65-((R$62-R$68)/6)</f>
        <v>24.500000000000004</v>
      </c>
      <c r="T66" s="36">
        <f>T65-((R$62-R$68)/6)</f>
        <v>28.700000000000003</v>
      </c>
      <c r="U66" s="36">
        <f>U65-((R$62-R$68)/6)</f>
        <v>34.699999999999989</v>
      </c>
      <c r="V66" s="37">
        <f>V65-((R$62-R$68)/6)</f>
        <v>39.599999999999987</v>
      </c>
    </row>
    <row r="67" spans="15:22" x14ac:dyDescent="0.25">
      <c r="O67" s="34">
        <v>85</v>
      </c>
      <c r="P67" s="35"/>
      <c r="Q67" s="35"/>
      <c r="R67" s="36">
        <f>R66-((R$62-R$68)/6)</f>
        <v>19.550000000000004</v>
      </c>
      <c r="S67" s="36">
        <f>S66-((R$62-R$68)/6)</f>
        <v>23.550000000000004</v>
      </c>
      <c r="T67" s="36">
        <f>T66-((R$62-R$68)/6)</f>
        <v>27.750000000000004</v>
      </c>
      <c r="U67" s="36">
        <f>U66-((R$62-R$68)/6)</f>
        <v>33.749999999999986</v>
      </c>
      <c r="V67" s="37">
        <f>V66-((R$62-R$68)/6)</f>
        <v>38.649999999999984</v>
      </c>
    </row>
    <row r="68" spans="15:22" x14ac:dyDescent="0.25">
      <c r="O68" s="34">
        <v>90</v>
      </c>
      <c r="P68" s="35"/>
      <c r="Q68" s="35"/>
      <c r="R68" s="36">
        <f>E23</f>
        <v>18.600000000000001</v>
      </c>
      <c r="S68" s="36">
        <f>F23</f>
        <v>21.8</v>
      </c>
      <c r="T68" s="36">
        <f>G23</f>
        <v>25.1</v>
      </c>
      <c r="U68" s="36">
        <f>H23</f>
        <v>29.9</v>
      </c>
      <c r="V68" s="37">
        <f>I23</f>
        <v>33.9</v>
      </c>
    </row>
    <row r="69" spans="15:22" x14ac:dyDescent="0.25">
      <c r="O69" s="34">
        <v>95</v>
      </c>
      <c r="P69" s="35"/>
      <c r="Q69" s="35"/>
      <c r="R69" s="36">
        <f>R68-((R$68-R$74)/6)</f>
        <v>18.066666666666666</v>
      </c>
      <c r="S69" s="36">
        <f>S68-((R$68-R$74)/6)</f>
        <v>21.266666666666666</v>
      </c>
      <c r="T69" s="36">
        <f>T68-((R$68-R$74)/6)</f>
        <v>24.566666666666666</v>
      </c>
      <c r="U69" s="36">
        <f>U68-((R$68-R$74)/6)</f>
        <v>29.366666666666664</v>
      </c>
      <c r="V69" s="37">
        <f>V68-((R$68-R$74)/6)</f>
        <v>33.366666666666667</v>
      </c>
    </row>
    <row r="70" spans="15:22" x14ac:dyDescent="0.25">
      <c r="O70" s="34">
        <v>100</v>
      </c>
      <c r="P70" s="35"/>
      <c r="Q70" s="35"/>
      <c r="R70" s="36">
        <f>R69-((R$68-R$74)/6)</f>
        <v>17.533333333333331</v>
      </c>
      <c r="S70" s="36">
        <f>S69-((R$68-R$74)/6)</f>
        <v>20.733333333333331</v>
      </c>
      <c r="T70" s="36">
        <f>T69-((R$68-R$74)/6)</f>
        <v>24.033333333333331</v>
      </c>
      <c r="U70" s="36">
        <f>U69-((R$68-R$74)/6)</f>
        <v>28.833333333333329</v>
      </c>
      <c r="V70" s="37">
        <f>V69-((R$68-R$74)/6)</f>
        <v>32.833333333333336</v>
      </c>
    </row>
    <row r="71" spans="15:22" x14ac:dyDescent="0.25">
      <c r="O71" s="34">
        <v>105</v>
      </c>
      <c r="P71" s="35"/>
      <c r="Q71" s="35"/>
      <c r="R71" s="36">
        <f>R70-((R$68-R$74)/6)</f>
        <v>16.999999999999996</v>
      </c>
      <c r="S71" s="36">
        <f>S70-((R$68-R$74)/6)</f>
        <v>20.199999999999996</v>
      </c>
      <c r="T71" s="36">
        <f>T70-((R$68-R$74)/6)</f>
        <v>23.499999999999996</v>
      </c>
      <c r="U71" s="36">
        <f>U70-((R$68-R$74)/6)</f>
        <v>28.299999999999994</v>
      </c>
      <c r="V71" s="37">
        <f>V70-((R$68-R$74)/6)</f>
        <v>32.300000000000004</v>
      </c>
    </row>
    <row r="72" spans="15:22" x14ac:dyDescent="0.25">
      <c r="O72" s="34">
        <v>110</v>
      </c>
      <c r="P72" s="35"/>
      <c r="Q72" s="35"/>
      <c r="R72" s="36">
        <f>R71-((R$68-R$74)/6)</f>
        <v>16.466666666666661</v>
      </c>
      <c r="S72" s="36">
        <f>S71-((R$68-R$74)/6)</f>
        <v>19.666666666666661</v>
      </c>
      <c r="T72" s="36">
        <f>T71-((R$68-R$74)/6)</f>
        <v>22.966666666666661</v>
      </c>
      <c r="U72" s="36">
        <f>U71-((R$68-R$74)/6)</f>
        <v>27.766666666666659</v>
      </c>
      <c r="V72" s="37">
        <f>V71-((R$68-R$74)/6)</f>
        <v>31.766666666666669</v>
      </c>
    </row>
    <row r="73" spans="15:22" x14ac:dyDescent="0.25">
      <c r="O73" s="34">
        <v>115</v>
      </c>
      <c r="P73" s="35"/>
      <c r="Q73" s="35"/>
      <c r="R73" s="36">
        <f>R72-((R$68-R$74)/6)</f>
        <v>15.933333333333328</v>
      </c>
      <c r="S73" s="36">
        <f>S72-((R$68-R$74)/6)</f>
        <v>19.133333333333326</v>
      </c>
      <c r="T73" s="36">
        <f>T72-((R$68-R$74)/6)</f>
        <v>22.433333333333326</v>
      </c>
      <c r="U73" s="36">
        <f>U72-((R$68-R$74)/6)</f>
        <v>27.233333333333324</v>
      </c>
      <c r="V73" s="37">
        <f>V72-((R$68-R$74)/6)</f>
        <v>31.233333333333334</v>
      </c>
    </row>
    <row r="74" spans="15:22" ht="15.75" thickBot="1" x14ac:dyDescent="0.3">
      <c r="O74" s="49">
        <v>120</v>
      </c>
      <c r="P74" s="50"/>
      <c r="Q74" s="50"/>
      <c r="R74" s="51">
        <f>E24</f>
        <v>15.4</v>
      </c>
      <c r="S74" s="51">
        <f>F24</f>
        <v>18.100000000000001</v>
      </c>
      <c r="T74" s="51">
        <f>G24</f>
        <v>20.9</v>
      </c>
      <c r="U74" s="51">
        <f>H24</f>
        <v>25</v>
      </c>
      <c r="V74" s="52">
        <f>I24</f>
        <v>28.5</v>
      </c>
    </row>
  </sheetData>
  <sheetProtection algorithmName="SHA-512" hashValue="LgP0t5uheN+58aT1GfftL4PmVlHPr9+TzQaPb8ikIVuowX8vamYGVilbIRu/hgKaJTtI2xysJVIg8O281oI0vQ==" saltValue="IXh2MvPiwIl9b3CA+LvO4g==" spinCount="100000" sheet="1" selectLockedCells="1"/>
  <mergeCells count="2">
    <mergeCell ref="B40:I40"/>
    <mergeCell ref="B8:I8"/>
  </mergeCells>
  <hyperlinks>
    <hyperlink ref="A7" r:id="rId1" xr:uid="{524DE77D-8456-4BAF-83C9-799AB6FAE45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B1329-F401-4120-8188-818CC20221B0}">
  <dimension ref="A1:Z169"/>
  <sheetViews>
    <sheetView topLeftCell="A133" zoomScaleNormal="100" workbookViewId="0">
      <selection activeCell="I186" sqref="I186"/>
    </sheetView>
  </sheetViews>
  <sheetFormatPr defaultColWidth="9.140625" defaultRowHeight="15" x14ac:dyDescent="0.25"/>
  <cols>
    <col min="1" max="1" width="28" style="1" customWidth="1"/>
    <col min="2" max="3" width="11.28515625" style="1" customWidth="1"/>
    <col min="4" max="6" width="9.140625" style="1"/>
    <col min="7" max="7" width="21.85546875" style="1" customWidth="1"/>
    <col min="8" max="8" width="11.5703125" style="1" customWidth="1"/>
    <col min="9" max="9" width="9.140625" style="1"/>
    <col min="10" max="10" width="19.85546875" style="1" customWidth="1"/>
    <col min="11" max="16384" width="9.140625" style="1"/>
  </cols>
  <sheetData>
    <row r="1" spans="1:10" ht="21" x14ac:dyDescent="0.35">
      <c r="A1" s="361" t="s">
        <v>147</v>
      </c>
      <c r="B1" s="361"/>
      <c r="C1" s="361"/>
      <c r="D1" s="361"/>
      <c r="E1" s="361"/>
      <c r="F1" s="361"/>
      <c r="G1" s="361"/>
      <c r="H1" s="361"/>
      <c r="I1" s="361"/>
      <c r="J1" s="361"/>
    </row>
    <row r="2" spans="1:10" x14ac:dyDescent="0.25">
      <c r="A2" s="1" t="s">
        <v>15</v>
      </c>
      <c r="B2" s="1">
        <v>5.0000000000000002E-5</v>
      </c>
    </row>
    <row r="3" spans="1:10" x14ac:dyDescent="0.25">
      <c r="A3" s="1" t="s">
        <v>148</v>
      </c>
      <c r="B3" s="1">
        <v>1.0000000000000001E-5</v>
      </c>
    </row>
    <row r="4" spans="1:10" x14ac:dyDescent="0.25">
      <c r="A4" s="1" t="s">
        <v>149</v>
      </c>
      <c r="B4" s="1">
        <v>9.9999999999999995E-7</v>
      </c>
    </row>
    <row r="5" spans="1:10" x14ac:dyDescent="0.25">
      <c r="A5" s="1" t="s">
        <v>150</v>
      </c>
      <c r="B5" s="1">
        <v>1E-8</v>
      </c>
    </row>
    <row r="6" spans="1:10" x14ac:dyDescent="0.25">
      <c r="A6" s="1" t="s">
        <v>151</v>
      </c>
      <c r="B6" s="1">
        <v>3.4700000000000003E-5</v>
      </c>
    </row>
    <row r="9" spans="1:10" x14ac:dyDescent="0.25">
      <c r="A9" s="1" t="s">
        <v>15</v>
      </c>
      <c r="B9" s="4">
        <v>0.5</v>
      </c>
    </row>
    <row r="10" spans="1:10" x14ac:dyDescent="0.25">
      <c r="A10" s="1" t="s">
        <v>148</v>
      </c>
      <c r="B10" s="4">
        <v>1</v>
      </c>
    </row>
    <row r="11" spans="1:10" x14ac:dyDescent="0.25">
      <c r="A11" s="1" t="s">
        <v>149</v>
      </c>
      <c r="B11" s="4">
        <v>2</v>
      </c>
    </row>
    <row r="12" spans="1:10" x14ac:dyDescent="0.25">
      <c r="A12" s="1" t="s">
        <v>150</v>
      </c>
      <c r="B12" s="4">
        <v>2</v>
      </c>
    </row>
    <row r="13" spans="1:10" x14ac:dyDescent="0.25">
      <c r="A13" s="1" t="s">
        <v>151</v>
      </c>
      <c r="B13" s="4">
        <v>0.5</v>
      </c>
    </row>
    <row r="15" spans="1:10" x14ac:dyDescent="0.25">
      <c r="A15" s="1" t="s">
        <v>153</v>
      </c>
    </row>
    <row r="16" spans="1:10" x14ac:dyDescent="0.25">
      <c r="A16" s="1" t="s">
        <v>9</v>
      </c>
    </row>
    <row r="17" spans="1:10" x14ac:dyDescent="0.25">
      <c r="A17" s="1" t="s">
        <v>154</v>
      </c>
      <c r="D17" s="18" t="s">
        <v>152</v>
      </c>
    </row>
    <row r="18" spans="1:10" ht="21" x14ac:dyDescent="0.35">
      <c r="A18" s="361" t="s">
        <v>155</v>
      </c>
      <c r="B18" s="361"/>
      <c r="C18" s="361"/>
      <c r="D18" s="361"/>
      <c r="E18" s="361"/>
      <c r="F18" s="361"/>
      <c r="G18" s="361"/>
      <c r="H18" s="361"/>
      <c r="I18" s="361"/>
      <c r="J18" s="361"/>
    </row>
    <row r="20" spans="1:10" x14ac:dyDescent="0.25">
      <c r="A20" s="2" t="s">
        <v>156</v>
      </c>
    </row>
    <row r="21" spans="1:10" x14ac:dyDescent="0.25">
      <c r="A21" s="2">
        <v>5</v>
      </c>
    </row>
    <row r="22" spans="1:10" x14ac:dyDescent="0.25">
      <c r="A22" s="2">
        <v>60</v>
      </c>
    </row>
    <row r="23" spans="1:10" x14ac:dyDescent="0.25">
      <c r="A23" s="2">
        <v>720</v>
      </c>
    </row>
    <row r="24" spans="1:10" ht="21" x14ac:dyDescent="0.35">
      <c r="A24" s="361" t="s">
        <v>157</v>
      </c>
      <c r="B24" s="361"/>
      <c r="C24" s="361"/>
      <c r="D24" s="361"/>
      <c r="E24" s="361"/>
      <c r="F24" s="361"/>
      <c r="G24" s="361"/>
      <c r="H24" s="361"/>
      <c r="I24" s="361"/>
      <c r="J24" s="361"/>
    </row>
    <row r="26" spans="1:10" x14ac:dyDescent="0.25">
      <c r="A26" s="1" t="s">
        <v>158</v>
      </c>
      <c r="B26" s="4"/>
    </row>
    <row r="27" spans="1:10" x14ac:dyDescent="0.25">
      <c r="A27" s="1" t="s">
        <v>159</v>
      </c>
      <c r="B27" s="4">
        <v>0.9</v>
      </c>
    </row>
    <row r="28" spans="1:10" x14ac:dyDescent="0.25">
      <c r="A28" s="1" t="s">
        <v>160</v>
      </c>
      <c r="B28" s="4">
        <v>1</v>
      </c>
    </row>
    <row r="32" spans="1:10" x14ac:dyDescent="0.25">
      <c r="A32" s="19"/>
    </row>
    <row r="33" spans="1:26" x14ac:dyDescent="0.25">
      <c r="B33" s="4"/>
    </row>
    <row r="34" spans="1:26" x14ac:dyDescent="0.25">
      <c r="B34" s="4"/>
      <c r="Y34" s="2"/>
      <c r="Z34" s="2"/>
    </row>
    <row r="35" spans="1:26" x14ac:dyDescent="0.25">
      <c r="B35" s="4"/>
      <c r="Y35" s="2"/>
      <c r="Z35" s="2"/>
    </row>
    <row r="36" spans="1:26" x14ac:dyDescent="0.25">
      <c r="Y36" s="2"/>
      <c r="Z36" s="2"/>
    </row>
    <row r="37" spans="1:26" x14ac:dyDescent="0.25">
      <c r="Y37" s="2"/>
      <c r="Z37" s="2"/>
    </row>
    <row r="38" spans="1:26" x14ac:dyDescent="0.25">
      <c r="Y38" s="2"/>
      <c r="Z38" s="2"/>
    </row>
    <row r="40" spans="1:26" x14ac:dyDescent="0.25">
      <c r="C40" s="20"/>
      <c r="D40" s="20"/>
    </row>
    <row r="44" spans="1:26" x14ac:dyDescent="0.25">
      <c r="E44" s="19" t="s">
        <v>224</v>
      </c>
    </row>
    <row r="45" spans="1:26" ht="21" x14ac:dyDescent="0.25">
      <c r="A45" s="360" t="s">
        <v>162</v>
      </c>
      <c r="B45" s="362"/>
      <c r="C45" s="362"/>
      <c r="D45" s="362"/>
      <c r="E45" s="362"/>
      <c r="F45" s="362"/>
      <c r="G45" s="362"/>
      <c r="H45" s="362"/>
      <c r="I45" s="362"/>
      <c r="J45" s="362"/>
    </row>
    <row r="49" spans="1:20" x14ac:dyDescent="0.25">
      <c r="A49" s="22"/>
      <c r="B49" s="2"/>
    </row>
    <row r="52" spans="1:20" x14ac:dyDescent="0.25">
      <c r="R52" s="19"/>
    </row>
    <row r="58" spans="1:20" x14ac:dyDescent="0.25">
      <c r="A58" s="22"/>
    </row>
    <row r="59" spans="1:20" x14ac:dyDescent="0.25">
      <c r="A59" s="22"/>
      <c r="B59" s="2"/>
    </row>
    <row r="60" spans="1:20" x14ac:dyDescent="0.25">
      <c r="A60" s="22"/>
      <c r="B60" s="2"/>
    </row>
    <row r="61" spans="1:20" x14ac:dyDescent="0.25">
      <c r="A61" s="22"/>
      <c r="B61" s="2"/>
      <c r="R61" s="2"/>
      <c r="S61" s="2"/>
    </row>
    <row r="62" spans="1:20" x14ac:dyDescent="0.25">
      <c r="A62" s="22"/>
      <c r="B62" s="2"/>
    </row>
    <row r="63" spans="1:20" x14ac:dyDescent="0.25">
      <c r="A63" s="22"/>
      <c r="B63" s="2"/>
      <c r="T63" s="22"/>
    </row>
    <row r="64" spans="1:20" x14ac:dyDescent="0.25">
      <c r="A64" s="22"/>
      <c r="B64" s="2"/>
    </row>
    <row r="65" spans="1:10" x14ac:dyDescent="0.25">
      <c r="A65" s="22"/>
      <c r="B65" s="2"/>
    </row>
    <row r="66" spans="1:10" x14ac:dyDescent="0.25">
      <c r="A66" s="22"/>
      <c r="B66" s="2"/>
    </row>
    <row r="67" spans="1:10" x14ac:dyDescent="0.25">
      <c r="A67" s="22"/>
      <c r="B67" s="2"/>
    </row>
    <row r="68" spans="1:10" x14ac:dyDescent="0.25">
      <c r="A68" s="22"/>
      <c r="B68" s="2"/>
    </row>
    <row r="69" spans="1:10" x14ac:dyDescent="0.25">
      <c r="A69" s="22"/>
      <c r="B69" s="2"/>
    </row>
    <row r="70" spans="1:10" x14ac:dyDescent="0.25">
      <c r="A70" s="22"/>
      <c r="B70" s="2"/>
    </row>
    <row r="71" spans="1:10" x14ac:dyDescent="0.25">
      <c r="A71" s="22"/>
      <c r="B71" s="2"/>
      <c r="E71" s="19" t="s">
        <v>223</v>
      </c>
    </row>
    <row r="72" spans="1:10" ht="58.5" customHeight="1" x14ac:dyDescent="0.25">
      <c r="A72" s="363" t="s">
        <v>230</v>
      </c>
      <c r="B72" s="363"/>
      <c r="C72" s="363"/>
      <c r="D72" s="363"/>
      <c r="E72" s="363"/>
      <c r="F72" s="363"/>
      <c r="G72" s="363"/>
      <c r="H72" s="363"/>
      <c r="I72" s="363"/>
      <c r="J72" s="363"/>
    </row>
    <row r="73" spans="1:10" ht="21" x14ac:dyDescent="0.25">
      <c r="A73" s="360" t="s">
        <v>163</v>
      </c>
      <c r="B73" s="360"/>
      <c r="C73" s="360"/>
      <c r="D73" s="360"/>
      <c r="E73" s="360"/>
      <c r="F73" s="360"/>
      <c r="G73" s="360"/>
      <c r="H73" s="360"/>
      <c r="I73" s="360"/>
      <c r="J73" s="360"/>
    </row>
    <row r="74" spans="1:10" ht="30" x14ac:dyDescent="0.25">
      <c r="A74" s="2" t="s">
        <v>164</v>
      </c>
      <c r="B74" s="2" t="s">
        <v>165</v>
      </c>
      <c r="C74" s="3" t="s">
        <v>48</v>
      </c>
      <c r="D74" s="1" t="s">
        <v>45</v>
      </c>
    </row>
    <row r="75" spans="1:10" x14ac:dyDescent="0.25">
      <c r="A75" s="2">
        <v>0</v>
      </c>
      <c r="B75" s="2">
        <v>0</v>
      </c>
      <c r="C75" s="4">
        <v>0</v>
      </c>
      <c r="D75" s="1" t="s">
        <v>56</v>
      </c>
    </row>
    <row r="76" spans="1:10" x14ac:dyDescent="0.25">
      <c r="A76" s="2">
        <v>0.6</v>
      </c>
      <c r="B76" s="2">
        <v>0.6</v>
      </c>
      <c r="C76" s="4">
        <v>1</v>
      </c>
      <c r="D76" s="1" t="s">
        <v>54</v>
      </c>
    </row>
    <row r="77" spans="1:10" x14ac:dyDescent="0.25">
      <c r="A77" s="2">
        <v>0.9</v>
      </c>
      <c r="B77" s="2">
        <v>0.9</v>
      </c>
      <c r="C77" s="4">
        <v>2</v>
      </c>
    </row>
    <row r="78" spans="1:10" x14ac:dyDescent="0.25">
      <c r="A78" s="2">
        <v>1.05</v>
      </c>
      <c r="B78" s="2">
        <v>1.2</v>
      </c>
      <c r="C78" s="4">
        <v>3</v>
      </c>
    </row>
    <row r="79" spans="1:10" x14ac:dyDescent="0.25">
      <c r="A79" s="2">
        <v>1.2</v>
      </c>
      <c r="B79" s="2">
        <v>1.5</v>
      </c>
      <c r="C79" s="4">
        <v>4</v>
      </c>
    </row>
    <row r="80" spans="1:10" x14ac:dyDescent="0.25">
      <c r="A80" s="2">
        <v>1.5</v>
      </c>
      <c r="B80" s="2">
        <v>1.8</v>
      </c>
      <c r="C80" s="4">
        <v>5</v>
      </c>
    </row>
    <row r="81" spans="1:20" x14ac:dyDescent="0.25">
      <c r="A81" s="2">
        <v>1.8</v>
      </c>
      <c r="B81" s="2">
        <v>2.4</v>
      </c>
    </row>
    <row r="82" spans="1:20" x14ac:dyDescent="0.25">
      <c r="A82" s="2"/>
      <c r="B82" s="2"/>
    </row>
    <row r="83" spans="1:20" x14ac:dyDescent="0.25">
      <c r="A83" s="2"/>
      <c r="B83" s="2"/>
    </row>
    <row r="84" spans="1:20" x14ac:dyDescent="0.25">
      <c r="A84" s="2"/>
      <c r="B84" s="2"/>
    </row>
    <row r="85" spans="1:20" x14ac:dyDescent="0.25">
      <c r="E85" s="19" t="s">
        <v>224</v>
      </c>
    </row>
    <row r="86" spans="1:20" ht="21" x14ac:dyDescent="0.35">
      <c r="A86" s="361" t="s">
        <v>166</v>
      </c>
      <c r="B86" s="361"/>
      <c r="C86" s="361"/>
      <c r="D86" s="361"/>
      <c r="E86" s="361"/>
      <c r="F86" s="361"/>
      <c r="G86" s="361"/>
      <c r="H86" s="361"/>
      <c r="I86" s="361"/>
      <c r="J86" s="361"/>
    </row>
    <row r="87" spans="1:20" ht="30" x14ac:dyDescent="0.25">
      <c r="A87" s="2" t="s">
        <v>61</v>
      </c>
      <c r="B87" s="3" t="s">
        <v>167</v>
      </c>
    </row>
    <row r="88" spans="1:20" x14ac:dyDescent="0.25">
      <c r="A88" s="2">
        <v>2000</v>
      </c>
      <c r="B88" s="4">
        <v>0</v>
      </c>
    </row>
    <row r="89" spans="1:20" x14ac:dyDescent="0.25">
      <c r="A89" s="2">
        <v>3000</v>
      </c>
      <c r="B89" s="4">
        <v>1</v>
      </c>
    </row>
    <row r="90" spans="1:20" x14ac:dyDescent="0.25">
      <c r="A90" s="2">
        <v>5000</v>
      </c>
      <c r="B90" s="4">
        <v>2</v>
      </c>
    </row>
    <row r="91" spans="1:20" x14ac:dyDescent="0.25">
      <c r="A91" s="2">
        <v>10000</v>
      </c>
      <c r="B91" s="4">
        <v>3</v>
      </c>
    </row>
    <row r="92" spans="1:20" x14ac:dyDescent="0.25">
      <c r="B92" s="4">
        <v>4</v>
      </c>
      <c r="T92" s="19"/>
    </row>
    <row r="93" spans="1:20" x14ac:dyDescent="0.25">
      <c r="B93" s="4">
        <v>5</v>
      </c>
    </row>
    <row r="94" spans="1:20" ht="21" x14ac:dyDescent="0.25">
      <c r="A94" s="360" t="s">
        <v>168</v>
      </c>
      <c r="B94" s="362"/>
      <c r="C94" s="362"/>
      <c r="D94" s="362"/>
      <c r="E94" s="362"/>
      <c r="F94" s="362"/>
      <c r="G94" s="362"/>
      <c r="H94" s="362"/>
      <c r="I94" s="362"/>
      <c r="J94" s="362"/>
    </row>
    <row r="95" spans="1:20" x14ac:dyDescent="0.25">
      <c r="A95" s="2" t="s">
        <v>169</v>
      </c>
      <c r="B95" s="4" t="s">
        <v>170</v>
      </c>
    </row>
    <row r="96" spans="1:20" x14ac:dyDescent="0.25">
      <c r="A96" s="2">
        <v>600</v>
      </c>
      <c r="B96" s="4">
        <v>300</v>
      </c>
      <c r="D96" s="365" t="s">
        <v>171</v>
      </c>
      <c r="E96" s="365"/>
    </row>
    <row r="97" spans="1:10" x14ac:dyDescent="0.25">
      <c r="A97" s="2">
        <v>900</v>
      </c>
      <c r="B97" s="4">
        <v>400</v>
      </c>
      <c r="D97" s="364" t="s">
        <v>172</v>
      </c>
      <c r="E97" s="364"/>
      <c r="F97" s="364"/>
      <c r="G97" s="364"/>
      <c r="H97" s="364"/>
      <c r="I97" s="364"/>
      <c r="J97" s="364"/>
    </row>
    <row r="98" spans="1:10" x14ac:dyDescent="0.25">
      <c r="B98" s="4">
        <v>500</v>
      </c>
      <c r="D98" s="364"/>
      <c r="E98" s="364"/>
      <c r="F98" s="364"/>
      <c r="G98" s="364"/>
      <c r="H98" s="364"/>
      <c r="I98" s="364"/>
      <c r="J98" s="364"/>
    </row>
    <row r="99" spans="1:10" x14ac:dyDescent="0.25">
      <c r="B99" s="4">
        <v>600</v>
      </c>
    </row>
    <row r="100" spans="1:10" x14ac:dyDescent="0.25">
      <c r="B100" s="4">
        <v>700</v>
      </c>
    </row>
    <row r="101" spans="1:10" x14ac:dyDescent="0.25">
      <c r="B101" s="4">
        <v>800</v>
      </c>
    </row>
    <row r="103" spans="1:10" x14ac:dyDescent="0.25">
      <c r="A103" s="21" t="s">
        <v>173</v>
      </c>
      <c r="B103" s="2" t="s">
        <v>174</v>
      </c>
      <c r="C103" s="2" t="s">
        <v>175</v>
      </c>
    </row>
    <row r="104" spans="1:10" x14ac:dyDescent="0.25">
      <c r="A104" s="1" t="s">
        <v>176</v>
      </c>
      <c r="B104" s="2" t="s">
        <v>177</v>
      </c>
      <c r="C104" s="2">
        <v>0.61</v>
      </c>
    </row>
    <row r="105" spans="1:10" x14ac:dyDescent="0.25">
      <c r="A105" s="1" t="s">
        <v>178</v>
      </c>
      <c r="B105" s="2" t="s">
        <v>177</v>
      </c>
      <c r="C105" s="2">
        <v>0.61</v>
      </c>
    </row>
    <row r="106" spans="1:10" x14ac:dyDescent="0.25">
      <c r="A106" s="1" t="s">
        <v>179</v>
      </c>
      <c r="B106" s="2" t="s">
        <v>180</v>
      </c>
      <c r="C106" s="2">
        <v>0.86</v>
      </c>
    </row>
    <row r="107" spans="1:10" x14ac:dyDescent="0.25">
      <c r="A107" s="1" t="s">
        <v>181</v>
      </c>
      <c r="B107" s="2" t="s">
        <v>182</v>
      </c>
      <c r="C107" s="2">
        <v>0.98</v>
      </c>
    </row>
    <row r="117" spans="4:13" x14ac:dyDescent="0.25">
      <c r="D117" s="21"/>
      <c r="E117" s="2"/>
    </row>
    <row r="118" spans="4:13" x14ac:dyDescent="0.25">
      <c r="E118" s="2"/>
    </row>
    <row r="119" spans="4:13" x14ac:dyDescent="0.25">
      <c r="E119" s="2"/>
      <c r="M119" s="1" t="s">
        <v>161</v>
      </c>
    </row>
    <row r="120" spans="4:13" x14ac:dyDescent="0.25">
      <c r="E120" s="2"/>
    </row>
    <row r="140" spans="1:10" ht="21" x14ac:dyDescent="0.25">
      <c r="A140" s="360" t="s">
        <v>183</v>
      </c>
      <c r="B140" s="360"/>
      <c r="C140" s="360"/>
      <c r="D140" s="360"/>
      <c r="E140" s="360"/>
      <c r="F140" s="360"/>
      <c r="G140" s="360"/>
      <c r="H140" s="360"/>
      <c r="I140" s="360"/>
      <c r="J140" s="360"/>
    </row>
    <row r="169" spans="6:6" x14ac:dyDescent="0.25">
      <c r="F169" s="19" t="s">
        <v>223</v>
      </c>
    </row>
  </sheetData>
  <sheetProtection algorithmName="SHA-512" hashValue="V3uGOM7aUUBw057qeiIHc9Ft4EbWQ4FV+Zr1hENicvybohLDfPphLv2HSfUo+vA9FxVElap6NpC5h/2lp9V26Q==" saltValue="upCXp1AGMBDXWIWDFJ7wwA==" spinCount="100000" sheet="1" objects="1" scenarios="1" selectLockedCells="1" selectUnlockedCells="1"/>
  <mergeCells count="11">
    <mergeCell ref="A86:J86"/>
    <mergeCell ref="A94:J94"/>
    <mergeCell ref="D97:J98"/>
    <mergeCell ref="D96:E96"/>
    <mergeCell ref="A140:J140"/>
    <mergeCell ref="A73:J73"/>
    <mergeCell ref="A18:J18"/>
    <mergeCell ref="A24:J24"/>
    <mergeCell ref="A45:J45"/>
    <mergeCell ref="A1:J1"/>
    <mergeCell ref="A72:J7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7C830-99AE-42AB-BBD2-E7CE53EFEC67}">
  <dimension ref="A1:P75"/>
  <sheetViews>
    <sheetView zoomScale="85" zoomScaleNormal="85" workbookViewId="0">
      <selection activeCell="M23" sqref="M23"/>
    </sheetView>
  </sheetViews>
  <sheetFormatPr defaultColWidth="9.140625" defaultRowHeight="15" x14ac:dyDescent="0.25"/>
  <cols>
    <col min="1" max="1" width="14.42578125" style="2" customWidth="1"/>
    <col min="2" max="2" width="11.42578125" style="2" customWidth="1"/>
    <col min="3" max="5" width="14.28515625" style="2" bestFit="1" customWidth="1"/>
    <col min="6" max="6" width="14" style="2" bestFit="1" customWidth="1"/>
    <col min="7" max="7" width="13.140625" style="2" bestFit="1" customWidth="1"/>
    <col min="8" max="8" width="13.85546875" style="2" bestFit="1" customWidth="1"/>
    <col min="9" max="9" width="12.42578125" style="2" bestFit="1" customWidth="1"/>
    <col min="10" max="11" width="13.140625" style="2" bestFit="1" customWidth="1"/>
    <col min="12" max="12" width="12.5703125" style="2" bestFit="1" customWidth="1"/>
    <col min="13" max="13" width="13.140625" style="2" bestFit="1" customWidth="1"/>
    <col min="14" max="14" width="11.5703125" style="2" bestFit="1" customWidth="1"/>
    <col min="15" max="16384" width="9.140625" style="2"/>
  </cols>
  <sheetData>
    <row r="1" spans="1:16" ht="19.899999999999999" customHeight="1" x14ac:dyDescent="0.25">
      <c r="A1" s="6" t="s">
        <v>184</v>
      </c>
      <c r="B1" s="7">
        <f>'Drainage calculator'!C65</f>
        <v>5</v>
      </c>
      <c r="C1" s="8" t="s">
        <v>185</v>
      </c>
    </row>
    <row r="2" spans="1:16" ht="20.45" customHeight="1" x14ac:dyDescent="0.25">
      <c r="A2" s="6" t="s">
        <v>186</v>
      </c>
      <c r="B2" s="7">
        <f>'Drainage calculator'!C66</f>
        <v>10</v>
      </c>
      <c r="C2" s="8" t="s">
        <v>187</v>
      </c>
    </row>
    <row r="3" spans="1:16" ht="19.899999999999999" customHeight="1" x14ac:dyDescent="0.25">
      <c r="A3" s="6" t="s">
        <v>188</v>
      </c>
      <c r="B3" s="7" t="str">
        <f>'Drainage calculator'!F19</f>
        <v>Sandy Clay</v>
      </c>
      <c r="C3" s="9"/>
    </row>
    <row r="4" spans="1:16" ht="27.6" customHeight="1" x14ac:dyDescent="0.25">
      <c r="A4" s="10" t="s">
        <v>229</v>
      </c>
      <c r="B4" s="11">
        <f>((C$7*'Drainage calculator'!H$6)+(D$7*'Drainage calculator'!H$7)+(E$7*'Drainage calculator'!H$9))*_xlfn.XLOOKUP(B$1,'Input-Rainfall Data'!C$9:I$9,'Input-Rainfall Data'!C$15:I$15)/3600</f>
        <v>2.2787388749999997</v>
      </c>
      <c r="C4" s="8" t="s">
        <v>189</v>
      </c>
    </row>
    <row r="5" spans="1:16" ht="60" x14ac:dyDescent="0.25">
      <c r="A5" s="12" t="s">
        <v>190</v>
      </c>
      <c r="B5" s="13" t="str">
        <f xml:space="preserve"> "RAINFALL INTENSITY " &amp; B2 &amp; " YEAR ARI"</f>
        <v>RAINFALL INTENSITY 10 YEAR ARI</v>
      </c>
      <c r="C5" s="13" t="s">
        <v>191</v>
      </c>
      <c r="D5" s="13" t="s">
        <v>192</v>
      </c>
      <c r="E5" s="13" t="s">
        <v>193</v>
      </c>
      <c r="F5" s="13" t="s">
        <v>194</v>
      </c>
      <c r="G5" s="13" t="s">
        <v>195</v>
      </c>
      <c r="H5" s="13" t="s">
        <v>196</v>
      </c>
      <c r="I5" s="13" t="s">
        <v>197</v>
      </c>
      <c r="J5" s="13" t="s">
        <v>198</v>
      </c>
      <c r="K5" s="13" t="s">
        <v>199</v>
      </c>
      <c r="L5" s="13" t="s">
        <v>200</v>
      </c>
      <c r="M5" s="13" t="s">
        <v>201</v>
      </c>
      <c r="N5" s="13" t="s">
        <v>202</v>
      </c>
      <c r="O5" s="11">
        <f>MAX(N7:N75)</f>
        <v>1.9058546093750004</v>
      </c>
      <c r="P5" s="14" t="s">
        <v>43</v>
      </c>
    </row>
    <row r="6" spans="1:16" x14ac:dyDescent="0.25">
      <c r="A6" s="15" t="s">
        <v>26</v>
      </c>
      <c r="B6" s="15" t="s">
        <v>28</v>
      </c>
      <c r="C6" s="15" t="s">
        <v>203</v>
      </c>
      <c r="D6" s="15" t="s">
        <v>204</v>
      </c>
      <c r="E6" s="15" t="s">
        <v>205</v>
      </c>
      <c r="F6" s="15" t="s">
        <v>206</v>
      </c>
      <c r="G6" s="15" t="s">
        <v>206</v>
      </c>
      <c r="H6" s="15" t="s">
        <v>206</v>
      </c>
      <c r="I6" s="15" t="s">
        <v>206</v>
      </c>
      <c r="J6" s="15" t="s">
        <v>79</v>
      </c>
      <c r="K6" s="15" t="s">
        <v>43</v>
      </c>
      <c r="L6" s="15" t="s">
        <v>79</v>
      </c>
      <c r="M6" s="15" t="s">
        <v>43</v>
      </c>
      <c r="N6" s="15" t="s">
        <v>43</v>
      </c>
    </row>
    <row r="7" spans="1:16" x14ac:dyDescent="0.25">
      <c r="A7" s="2">
        <f>'Input-Rainfall Data'!O6</f>
        <v>5</v>
      </c>
      <c r="B7" s="5" cm="1">
        <f t="array" ref="B7">_xlfn.XLOOKUP(A7,'Input-Rainfall Data'!$O$6:$O$74,_xlfn.XLOOKUP('OSD Mass-Curve'!$B$2,'Input-Rainfall Data'!$P$4:$V$4,'Input-Rainfall Data'!$P$6:$V$74))</f>
        <v>113</v>
      </c>
      <c r="C7" s="5">
        <f>'Drainage calculator'!F$32</f>
        <v>1</v>
      </c>
      <c r="D7" s="5">
        <f>'Drainage calculator'!F$33</f>
        <v>0.9</v>
      </c>
      <c r="E7" s="16">
        <f>'Drainage calculator'!F$34</f>
        <v>0.24339</v>
      </c>
      <c r="F7" s="17">
        <f>G7+H7</f>
        <v>200</v>
      </c>
      <c r="G7" s="17">
        <f>'Drainage calculator'!F$6</f>
        <v>150</v>
      </c>
      <c r="H7" s="17">
        <f>'Drainage calculator'!F$7</f>
        <v>50</v>
      </c>
      <c r="I7" s="17">
        <f>'Drainage calculator'!F$9</f>
        <v>150</v>
      </c>
      <c r="J7" s="5">
        <f>((G7*C7)+(H7*D7)+(I7*E7))*B7/3600</f>
        <v>7.2667945833333336</v>
      </c>
      <c r="K7" s="5">
        <f>A7*J7*60/1000</f>
        <v>2.1800383750000001</v>
      </c>
      <c r="L7" s="5">
        <f>B$4</f>
        <v>2.2787388749999997</v>
      </c>
      <c r="M7" s="5">
        <f>A7*L7*60/1000</f>
        <v>0.6836216625</v>
      </c>
      <c r="N7" s="5">
        <f>K7-M7</f>
        <v>1.4964167125000001</v>
      </c>
    </row>
    <row r="8" spans="1:16" x14ac:dyDescent="0.25">
      <c r="A8" s="2">
        <f>'Input-Rainfall Data'!O7</f>
        <v>5.5</v>
      </c>
      <c r="B8" s="5" cm="1">
        <f t="array" ref="B8">_xlfn.XLOOKUP(A8,'Input-Rainfall Data'!$O$6:$O$74,_xlfn.XLOOKUP('OSD Mass-Curve'!$B$2,'Input-Rainfall Data'!$P$4:$V$4,'Input-Rainfall Data'!$P$6:$V$74))</f>
        <v>110</v>
      </c>
      <c r="C8" s="5">
        <f>'Drainage calculator'!F$32</f>
        <v>1</v>
      </c>
      <c r="D8" s="5">
        <f>'Drainage calculator'!F$33</f>
        <v>0.9</v>
      </c>
      <c r="E8" s="16">
        <f>'Drainage calculator'!F$34</f>
        <v>0.24339</v>
      </c>
      <c r="F8" s="17">
        <f t="shared" ref="F8:F71" si="0">G8+H8</f>
        <v>200</v>
      </c>
      <c r="G8" s="17">
        <f>'Drainage calculator'!F$6</f>
        <v>150</v>
      </c>
      <c r="H8" s="17">
        <f>'Drainage calculator'!F$7</f>
        <v>50</v>
      </c>
      <c r="I8" s="17">
        <f>'Drainage calculator'!F$9</f>
        <v>150</v>
      </c>
      <c r="J8" s="5">
        <f t="shared" ref="J8:J71" si="1">((G8*C8)+(H8*D8)+(I8*E8))*B8/3600</f>
        <v>7.0738708333333333</v>
      </c>
      <c r="K8" s="5">
        <f t="shared" ref="K8:K71" si="2">A8*J8*60/1000</f>
        <v>2.3343773749999999</v>
      </c>
      <c r="L8" s="5">
        <f t="shared" ref="L8:L71" si="3">B$4</f>
        <v>2.2787388749999997</v>
      </c>
      <c r="M8" s="5">
        <f t="shared" ref="M8:M71" si="4">A8*L8*60/1000</f>
        <v>0.75198382874999992</v>
      </c>
      <c r="N8" s="5">
        <f t="shared" ref="N8:N71" si="5">K8-M8</f>
        <v>1.5823935462500001</v>
      </c>
    </row>
    <row r="9" spans="1:16" x14ac:dyDescent="0.25">
      <c r="A9" s="2">
        <f>'Input-Rainfall Data'!O8</f>
        <v>6</v>
      </c>
      <c r="B9" s="5" cm="1">
        <f t="array" ref="B9">_xlfn.XLOOKUP(A9,'Input-Rainfall Data'!$O$6:$O$74,_xlfn.XLOOKUP('OSD Mass-Curve'!$B$2,'Input-Rainfall Data'!$P$4:$V$4,'Input-Rainfall Data'!$P$6:$V$74))</f>
        <v>107</v>
      </c>
      <c r="C9" s="5">
        <f>'Drainage calculator'!F$32</f>
        <v>1</v>
      </c>
      <c r="D9" s="5">
        <f>'Drainage calculator'!F$33</f>
        <v>0.9</v>
      </c>
      <c r="E9" s="16">
        <f>'Drainage calculator'!F$34</f>
        <v>0.24339</v>
      </c>
      <c r="F9" s="17">
        <f t="shared" si="0"/>
        <v>200</v>
      </c>
      <c r="G9" s="17">
        <f>'Drainage calculator'!F$6</f>
        <v>150</v>
      </c>
      <c r="H9" s="17">
        <f>'Drainage calculator'!F$7</f>
        <v>50</v>
      </c>
      <c r="I9" s="17">
        <f>'Drainage calculator'!F$9</f>
        <v>150</v>
      </c>
      <c r="J9" s="5">
        <f t="shared" si="1"/>
        <v>6.8809470833333339</v>
      </c>
      <c r="K9" s="5">
        <f t="shared" si="2"/>
        <v>2.4771409500000003</v>
      </c>
      <c r="L9" s="5">
        <f t="shared" si="3"/>
        <v>2.2787388749999997</v>
      </c>
      <c r="M9" s="5">
        <f t="shared" si="4"/>
        <v>0.82034599499999994</v>
      </c>
      <c r="N9" s="5">
        <f t="shared" si="5"/>
        <v>1.6567949550000005</v>
      </c>
    </row>
    <row r="10" spans="1:16" x14ac:dyDescent="0.25">
      <c r="A10" s="2">
        <f>'Input-Rainfall Data'!O9</f>
        <v>6.5</v>
      </c>
      <c r="B10" s="5" cm="1">
        <f t="array" ref="B10">_xlfn.XLOOKUP(A10,'Input-Rainfall Data'!$O$6:$O$74,_xlfn.XLOOKUP('OSD Mass-Curve'!$B$2,'Input-Rainfall Data'!$P$4:$V$4,'Input-Rainfall Data'!$P$6:$V$74))</f>
        <v>104</v>
      </c>
      <c r="C10" s="5">
        <f>'Drainage calculator'!F$32</f>
        <v>1</v>
      </c>
      <c r="D10" s="5">
        <f>'Drainage calculator'!F$33</f>
        <v>0.9</v>
      </c>
      <c r="E10" s="16">
        <f>'Drainage calculator'!F$34</f>
        <v>0.24339</v>
      </c>
      <c r="F10" s="17">
        <f t="shared" si="0"/>
        <v>200</v>
      </c>
      <c r="G10" s="17">
        <f>'Drainage calculator'!F$6</f>
        <v>150</v>
      </c>
      <c r="H10" s="17">
        <f>'Drainage calculator'!F$7</f>
        <v>50</v>
      </c>
      <c r="I10" s="17">
        <f>'Drainage calculator'!F$9</f>
        <v>150</v>
      </c>
      <c r="J10" s="5">
        <f t="shared" si="1"/>
        <v>6.6880233333333328</v>
      </c>
      <c r="K10" s="5">
        <f t="shared" si="2"/>
        <v>2.6083290999999997</v>
      </c>
      <c r="L10" s="5">
        <f t="shared" si="3"/>
        <v>2.2787388749999997</v>
      </c>
      <c r="M10" s="5">
        <f t="shared" si="4"/>
        <v>0.88870816124999985</v>
      </c>
      <c r="N10" s="5">
        <f t="shared" si="5"/>
        <v>1.7196209387499999</v>
      </c>
    </row>
    <row r="11" spans="1:16" x14ac:dyDescent="0.25">
      <c r="A11" s="2">
        <f>'Input-Rainfall Data'!O10</f>
        <v>7</v>
      </c>
      <c r="B11" s="5" cm="1">
        <f t="array" ref="B11">_xlfn.XLOOKUP(A11,'Input-Rainfall Data'!$O$6:$O$74,_xlfn.XLOOKUP('OSD Mass-Curve'!$B$2,'Input-Rainfall Data'!$P$4:$V$4,'Input-Rainfall Data'!$P$6:$V$74))</f>
        <v>101</v>
      </c>
      <c r="C11" s="5">
        <f>'Drainage calculator'!F$32</f>
        <v>1</v>
      </c>
      <c r="D11" s="5">
        <f>'Drainage calculator'!F$33</f>
        <v>0.9</v>
      </c>
      <c r="E11" s="16">
        <f>'Drainage calculator'!F$34</f>
        <v>0.24339</v>
      </c>
      <c r="F11" s="17">
        <f t="shared" si="0"/>
        <v>200</v>
      </c>
      <c r="G11" s="17">
        <f>'Drainage calculator'!F$6</f>
        <v>150</v>
      </c>
      <c r="H11" s="17">
        <f>'Drainage calculator'!F$7</f>
        <v>50</v>
      </c>
      <c r="I11" s="17">
        <f>'Drainage calculator'!F$9</f>
        <v>150</v>
      </c>
      <c r="J11" s="5">
        <f t="shared" si="1"/>
        <v>6.4950995833333325</v>
      </c>
      <c r="K11" s="5">
        <f t="shared" si="2"/>
        <v>2.7279418249999994</v>
      </c>
      <c r="L11" s="5">
        <f t="shared" si="3"/>
        <v>2.2787388749999997</v>
      </c>
      <c r="M11" s="5">
        <f t="shared" si="4"/>
        <v>0.95707032749999987</v>
      </c>
      <c r="N11" s="5">
        <f t="shared" si="5"/>
        <v>1.7708714974999995</v>
      </c>
    </row>
    <row r="12" spans="1:16" x14ac:dyDescent="0.25">
      <c r="A12" s="2">
        <f>'Input-Rainfall Data'!O11</f>
        <v>7.5</v>
      </c>
      <c r="B12" s="5" cm="1">
        <f t="array" ref="B12">_xlfn.XLOOKUP(A12,'Input-Rainfall Data'!$O$6:$O$74,_xlfn.XLOOKUP('OSD Mass-Curve'!$B$2,'Input-Rainfall Data'!$P$4:$V$4,'Input-Rainfall Data'!$P$6:$V$74))</f>
        <v>98</v>
      </c>
      <c r="C12" s="5">
        <f>'Drainage calculator'!F$32</f>
        <v>1</v>
      </c>
      <c r="D12" s="5">
        <f>'Drainage calculator'!F$33</f>
        <v>0.9</v>
      </c>
      <c r="E12" s="16">
        <f>'Drainage calculator'!F$34</f>
        <v>0.24339</v>
      </c>
      <c r="F12" s="17">
        <f t="shared" si="0"/>
        <v>200</v>
      </c>
      <c r="G12" s="17">
        <f>'Drainage calculator'!F$6</f>
        <v>150</v>
      </c>
      <c r="H12" s="17">
        <f>'Drainage calculator'!F$7</f>
        <v>50</v>
      </c>
      <c r="I12" s="17">
        <f>'Drainage calculator'!F$9</f>
        <v>150</v>
      </c>
      <c r="J12" s="5">
        <f t="shared" si="1"/>
        <v>6.3021758333333331</v>
      </c>
      <c r="K12" s="5">
        <f t="shared" si="2"/>
        <v>2.8359791249999997</v>
      </c>
      <c r="L12" s="5">
        <f t="shared" si="3"/>
        <v>2.2787388749999997</v>
      </c>
      <c r="M12" s="5">
        <f t="shared" si="4"/>
        <v>1.0254324937499999</v>
      </c>
      <c r="N12" s="5">
        <f t="shared" si="5"/>
        <v>1.8105466312499998</v>
      </c>
    </row>
    <row r="13" spans="1:16" x14ac:dyDescent="0.25">
      <c r="A13" s="2">
        <f>'Input-Rainfall Data'!O12</f>
        <v>8</v>
      </c>
      <c r="B13" s="5" cm="1">
        <f t="array" ref="B13">_xlfn.XLOOKUP(A13,'Input-Rainfall Data'!$O$6:$O$74,_xlfn.XLOOKUP('OSD Mass-Curve'!$B$2,'Input-Rainfall Data'!$P$4:$V$4,'Input-Rainfall Data'!$P$6:$V$74))</f>
        <v>95</v>
      </c>
      <c r="C13" s="5">
        <f>'Drainage calculator'!F$32</f>
        <v>1</v>
      </c>
      <c r="D13" s="5">
        <f>'Drainage calculator'!F$33</f>
        <v>0.9</v>
      </c>
      <c r="E13" s="16">
        <f>'Drainage calculator'!F$34</f>
        <v>0.24339</v>
      </c>
      <c r="F13" s="17">
        <f t="shared" si="0"/>
        <v>200</v>
      </c>
      <c r="G13" s="17">
        <f>'Drainage calculator'!F$6</f>
        <v>150</v>
      </c>
      <c r="H13" s="17">
        <f>'Drainage calculator'!F$7</f>
        <v>50</v>
      </c>
      <c r="I13" s="17">
        <f>'Drainage calculator'!F$9</f>
        <v>150</v>
      </c>
      <c r="J13" s="5">
        <f t="shared" si="1"/>
        <v>6.1092520833333328</v>
      </c>
      <c r="K13" s="5">
        <f t="shared" si="2"/>
        <v>2.9324409999999999</v>
      </c>
      <c r="L13" s="5">
        <f t="shared" si="3"/>
        <v>2.2787388749999997</v>
      </c>
      <c r="M13" s="5">
        <f t="shared" si="4"/>
        <v>1.0937946599999997</v>
      </c>
      <c r="N13" s="5">
        <f t="shared" si="5"/>
        <v>1.8386463400000002</v>
      </c>
    </row>
    <row r="14" spans="1:16" x14ac:dyDescent="0.25">
      <c r="A14" s="2">
        <f>'Input-Rainfall Data'!O13</f>
        <v>8.5</v>
      </c>
      <c r="B14" s="5" cm="1">
        <f t="array" ref="B14">_xlfn.XLOOKUP(A14,'Input-Rainfall Data'!$O$6:$O$74,_xlfn.XLOOKUP('OSD Mass-Curve'!$B$2,'Input-Rainfall Data'!$P$4:$V$4,'Input-Rainfall Data'!$P$6:$V$74))</f>
        <v>92</v>
      </c>
      <c r="C14" s="5">
        <f>'Drainage calculator'!F$32</f>
        <v>1</v>
      </c>
      <c r="D14" s="5">
        <f>'Drainage calculator'!F$33</f>
        <v>0.9</v>
      </c>
      <c r="E14" s="16">
        <f>'Drainage calculator'!F$34</f>
        <v>0.24339</v>
      </c>
      <c r="F14" s="17">
        <f t="shared" si="0"/>
        <v>200</v>
      </c>
      <c r="G14" s="17">
        <f>'Drainage calculator'!F$6</f>
        <v>150</v>
      </c>
      <c r="H14" s="17">
        <f>'Drainage calculator'!F$7</f>
        <v>50</v>
      </c>
      <c r="I14" s="17">
        <f>'Drainage calculator'!F$9</f>
        <v>150</v>
      </c>
      <c r="J14" s="5">
        <f t="shared" si="1"/>
        <v>5.9163283333333334</v>
      </c>
      <c r="K14" s="5">
        <f t="shared" si="2"/>
        <v>3.0173274500000002</v>
      </c>
      <c r="L14" s="5">
        <f t="shared" si="3"/>
        <v>2.2787388749999997</v>
      </c>
      <c r="M14" s="5">
        <f t="shared" si="4"/>
        <v>1.1621568262499999</v>
      </c>
      <c r="N14" s="5">
        <f t="shared" si="5"/>
        <v>1.8551706237500003</v>
      </c>
    </row>
    <row r="15" spans="1:16" x14ac:dyDescent="0.25">
      <c r="A15" s="2">
        <f>'Input-Rainfall Data'!O14</f>
        <v>9</v>
      </c>
      <c r="B15" s="5" cm="1">
        <f t="array" ref="B15">_xlfn.XLOOKUP(A15,'Input-Rainfall Data'!$O$6:$O$74,_xlfn.XLOOKUP('OSD Mass-Curve'!$B$2,'Input-Rainfall Data'!$P$4:$V$4,'Input-Rainfall Data'!$P$6:$V$74))</f>
        <v>89</v>
      </c>
      <c r="C15" s="5">
        <f>'Drainage calculator'!F$32</f>
        <v>1</v>
      </c>
      <c r="D15" s="5">
        <f>'Drainage calculator'!F$33</f>
        <v>0.9</v>
      </c>
      <c r="E15" s="16">
        <f>'Drainage calculator'!F$34</f>
        <v>0.24339</v>
      </c>
      <c r="F15" s="17">
        <f t="shared" si="0"/>
        <v>200</v>
      </c>
      <c r="G15" s="17">
        <f>'Drainage calculator'!F$6</f>
        <v>150</v>
      </c>
      <c r="H15" s="17">
        <f>'Drainage calculator'!F$7</f>
        <v>50</v>
      </c>
      <c r="I15" s="17">
        <f>'Drainage calculator'!F$9</f>
        <v>150</v>
      </c>
      <c r="J15" s="5">
        <f t="shared" si="1"/>
        <v>5.7234045833333331</v>
      </c>
      <c r="K15" s="5">
        <f t="shared" si="2"/>
        <v>3.0906384749999996</v>
      </c>
      <c r="L15" s="5">
        <f t="shared" si="3"/>
        <v>2.2787388749999997</v>
      </c>
      <c r="M15" s="5">
        <f t="shared" si="4"/>
        <v>1.2305189924999997</v>
      </c>
      <c r="N15" s="5">
        <f t="shared" si="5"/>
        <v>1.8601194824999998</v>
      </c>
    </row>
    <row r="16" spans="1:16" x14ac:dyDescent="0.25">
      <c r="A16" s="2">
        <f>'Input-Rainfall Data'!O15</f>
        <v>9.5</v>
      </c>
      <c r="B16" s="5" cm="1">
        <f t="array" ref="B16">_xlfn.XLOOKUP(A16,'Input-Rainfall Data'!$O$6:$O$74,_xlfn.XLOOKUP('OSD Mass-Curve'!$B$2,'Input-Rainfall Data'!$P$4:$V$4,'Input-Rainfall Data'!$P$6:$V$74))</f>
        <v>86</v>
      </c>
      <c r="C16" s="5">
        <f>'Drainage calculator'!F$32</f>
        <v>1</v>
      </c>
      <c r="D16" s="5">
        <f>'Drainage calculator'!F$33</f>
        <v>0.9</v>
      </c>
      <c r="E16" s="16">
        <f>'Drainage calculator'!F$34</f>
        <v>0.24339</v>
      </c>
      <c r="F16" s="17">
        <f t="shared" si="0"/>
        <v>200</v>
      </c>
      <c r="G16" s="17">
        <f>'Drainage calculator'!F$6</f>
        <v>150</v>
      </c>
      <c r="H16" s="17">
        <f>'Drainage calculator'!F$7</f>
        <v>50</v>
      </c>
      <c r="I16" s="17">
        <f>'Drainage calculator'!F$9</f>
        <v>150</v>
      </c>
      <c r="J16" s="5">
        <f t="shared" si="1"/>
        <v>5.5304808333333328</v>
      </c>
      <c r="K16" s="5">
        <f t="shared" si="2"/>
        <v>3.1523740749999996</v>
      </c>
      <c r="L16" s="5">
        <f t="shared" si="3"/>
        <v>2.2787388749999997</v>
      </c>
      <c r="M16" s="5">
        <f t="shared" si="4"/>
        <v>1.29888115875</v>
      </c>
      <c r="N16" s="5">
        <f t="shared" si="5"/>
        <v>1.8534929162499996</v>
      </c>
    </row>
    <row r="17" spans="1:14" x14ac:dyDescent="0.25">
      <c r="A17" s="2">
        <f>'Input-Rainfall Data'!O16</f>
        <v>10</v>
      </c>
      <c r="B17" s="5" cm="1">
        <f t="array" ref="B17">_xlfn.XLOOKUP(A17,'Input-Rainfall Data'!$O$6:$O$74,_xlfn.XLOOKUP('OSD Mass-Curve'!$B$2,'Input-Rainfall Data'!$P$4:$V$4,'Input-Rainfall Data'!$P$6:$V$74))</f>
        <v>83</v>
      </c>
      <c r="C17" s="5">
        <f>'Drainage calculator'!F$32</f>
        <v>1</v>
      </c>
      <c r="D17" s="5">
        <f>'Drainage calculator'!F$33</f>
        <v>0.9</v>
      </c>
      <c r="E17" s="16">
        <f>'Drainage calculator'!F$34</f>
        <v>0.24339</v>
      </c>
      <c r="F17" s="17">
        <f t="shared" si="0"/>
        <v>200</v>
      </c>
      <c r="G17" s="17">
        <f>'Drainage calculator'!F$6</f>
        <v>150</v>
      </c>
      <c r="H17" s="17">
        <f>'Drainage calculator'!F$7</f>
        <v>50</v>
      </c>
      <c r="I17" s="17">
        <f>'Drainage calculator'!F$9</f>
        <v>150</v>
      </c>
      <c r="J17" s="5">
        <f t="shared" si="1"/>
        <v>5.3375570833333335</v>
      </c>
      <c r="K17" s="5">
        <f t="shared" si="2"/>
        <v>3.2025342500000002</v>
      </c>
      <c r="L17" s="5">
        <f t="shared" si="3"/>
        <v>2.2787388749999997</v>
      </c>
      <c r="M17" s="5">
        <f t="shared" si="4"/>
        <v>1.367243325</v>
      </c>
      <c r="N17" s="5">
        <f t="shared" si="5"/>
        <v>1.8352909250000002</v>
      </c>
    </row>
    <row r="18" spans="1:14" x14ac:dyDescent="0.25">
      <c r="A18" s="2">
        <f>'Input-Rainfall Data'!O17</f>
        <v>10.5</v>
      </c>
      <c r="B18" s="5" cm="1">
        <f t="array" ref="B18">_xlfn.XLOOKUP(A18,'Input-Rainfall Data'!$O$6:$O$74,_xlfn.XLOOKUP('OSD Mass-Curve'!$B$2,'Input-Rainfall Data'!$P$4:$V$4,'Input-Rainfall Data'!$P$6:$V$74))</f>
        <v>81.39</v>
      </c>
      <c r="C18" s="5">
        <f>'Drainage calculator'!F$32</f>
        <v>1</v>
      </c>
      <c r="D18" s="5">
        <f>'Drainage calculator'!F$33</f>
        <v>0.9</v>
      </c>
      <c r="E18" s="16">
        <f>'Drainage calculator'!F$34</f>
        <v>0.24339</v>
      </c>
      <c r="F18" s="17">
        <f t="shared" si="0"/>
        <v>200</v>
      </c>
      <c r="G18" s="17">
        <f>'Drainage calculator'!F$6</f>
        <v>150</v>
      </c>
      <c r="H18" s="17">
        <f>'Drainage calculator'!F$7</f>
        <v>50</v>
      </c>
      <c r="I18" s="17">
        <f>'Drainage calculator'!F$9</f>
        <v>150</v>
      </c>
      <c r="J18" s="5">
        <f t="shared" si="1"/>
        <v>5.2340213374999998</v>
      </c>
      <c r="K18" s="5">
        <f t="shared" si="2"/>
        <v>3.2974334426249996</v>
      </c>
      <c r="L18" s="5">
        <f t="shared" si="3"/>
        <v>2.2787388749999997</v>
      </c>
      <c r="M18" s="5">
        <f t="shared" si="4"/>
        <v>1.4356054912499996</v>
      </c>
      <c r="N18" s="5">
        <f t="shared" si="5"/>
        <v>1.861827951375</v>
      </c>
    </row>
    <row r="19" spans="1:14" x14ac:dyDescent="0.25">
      <c r="A19" s="2">
        <f>'Input-Rainfall Data'!O18</f>
        <v>11</v>
      </c>
      <c r="B19" s="5" cm="1">
        <f t="array" ref="B19">_xlfn.XLOOKUP(A19,'Input-Rainfall Data'!$O$6:$O$74,_xlfn.XLOOKUP('OSD Mass-Curve'!$B$2,'Input-Rainfall Data'!$P$4:$V$4,'Input-Rainfall Data'!$P$6:$V$74))</f>
        <v>79.78</v>
      </c>
      <c r="C19" s="5">
        <f>'Drainage calculator'!F$32</f>
        <v>1</v>
      </c>
      <c r="D19" s="5">
        <f>'Drainage calculator'!F$33</f>
        <v>0.9</v>
      </c>
      <c r="E19" s="16">
        <f>'Drainage calculator'!F$34</f>
        <v>0.24339</v>
      </c>
      <c r="F19" s="17">
        <f t="shared" si="0"/>
        <v>200</v>
      </c>
      <c r="G19" s="17">
        <f>'Drainage calculator'!F$6</f>
        <v>150</v>
      </c>
      <c r="H19" s="17">
        <f>'Drainage calculator'!F$7</f>
        <v>50</v>
      </c>
      <c r="I19" s="17">
        <f>'Drainage calculator'!F$9</f>
        <v>150</v>
      </c>
      <c r="J19" s="5">
        <f t="shared" si="1"/>
        <v>5.130485591666667</v>
      </c>
      <c r="K19" s="5">
        <f t="shared" si="2"/>
        <v>3.3861204905000006</v>
      </c>
      <c r="L19" s="5">
        <f t="shared" si="3"/>
        <v>2.2787388749999997</v>
      </c>
      <c r="M19" s="5">
        <f t="shared" si="4"/>
        <v>1.5039676574999998</v>
      </c>
      <c r="N19" s="5">
        <f t="shared" si="5"/>
        <v>1.8821528330000008</v>
      </c>
    </row>
    <row r="20" spans="1:14" x14ac:dyDescent="0.25">
      <c r="A20" s="2">
        <f>'Input-Rainfall Data'!O19</f>
        <v>11.5</v>
      </c>
      <c r="B20" s="5" cm="1">
        <f t="array" ref="B20">_xlfn.XLOOKUP(A20,'Input-Rainfall Data'!$O$6:$O$74,_xlfn.XLOOKUP('OSD Mass-Curve'!$B$2,'Input-Rainfall Data'!$P$4:$V$4,'Input-Rainfall Data'!$P$6:$V$74))</f>
        <v>78.17</v>
      </c>
      <c r="C20" s="5">
        <f>'Drainage calculator'!F$32</f>
        <v>1</v>
      </c>
      <c r="D20" s="5">
        <f>'Drainage calculator'!F$33</f>
        <v>0.9</v>
      </c>
      <c r="E20" s="16">
        <f>'Drainage calculator'!F$34</f>
        <v>0.24339</v>
      </c>
      <c r="F20" s="17">
        <f t="shared" si="0"/>
        <v>200</v>
      </c>
      <c r="G20" s="17">
        <f>'Drainage calculator'!F$6</f>
        <v>150</v>
      </c>
      <c r="H20" s="17">
        <f>'Drainage calculator'!F$7</f>
        <v>50</v>
      </c>
      <c r="I20" s="17">
        <f>'Drainage calculator'!F$9</f>
        <v>150</v>
      </c>
      <c r="J20" s="5">
        <f t="shared" si="1"/>
        <v>5.0269498458333342</v>
      </c>
      <c r="K20" s="5">
        <f t="shared" si="2"/>
        <v>3.4685953936250007</v>
      </c>
      <c r="L20" s="5">
        <f t="shared" si="3"/>
        <v>2.2787388749999997</v>
      </c>
      <c r="M20" s="5">
        <f t="shared" si="4"/>
        <v>1.5723298237499999</v>
      </c>
      <c r="N20" s="5">
        <f t="shared" si="5"/>
        <v>1.8962655698750008</v>
      </c>
    </row>
    <row r="21" spans="1:14" x14ac:dyDescent="0.25">
      <c r="A21" s="2">
        <f>'Input-Rainfall Data'!O20</f>
        <v>12</v>
      </c>
      <c r="B21" s="5" cm="1">
        <f t="array" ref="B21">_xlfn.XLOOKUP(A21,'Input-Rainfall Data'!$O$6:$O$74,_xlfn.XLOOKUP('OSD Mass-Curve'!$B$2,'Input-Rainfall Data'!$P$4:$V$4,'Input-Rainfall Data'!$P$6:$V$74))</f>
        <v>76.56</v>
      </c>
      <c r="C21" s="5">
        <f>'Drainage calculator'!F$32</f>
        <v>1</v>
      </c>
      <c r="D21" s="5">
        <f>'Drainage calculator'!F$33</f>
        <v>0.9</v>
      </c>
      <c r="E21" s="16">
        <f>'Drainage calculator'!F$34</f>
        <v>0.24339</v>
      </c>
      <c r="F21" s="17">
        <f t="shared" si="0"/>
        <v>200</v>
      </c>
      <c r="G21" s="17">
        <f>'Drainage calculator'!F$6</f>
        <v>150</v>
      </c>
      <c r="H21" s="17">
        <f>'Drainage calculator'!F$7</f>
        <v>50</v>
      </c>
      <c r="I21" s="17">
        <f>'Drainage calculator'!F$9</f>
        <v>150</v>
      </c>
      <c r="J21" s="5">
        <f t="shared" si="1"/>
        <v>4.9234140999999996</v>
      </c>
      <c r="K21" s="5">
        <f t="shared" si="2"/>
        <v>3.5448581519999998</v>
      </c>
      <c r="L21" s="5">
        <f t="shared" si="3"/>
        <v>2.2787388749999997</v>
      </c>
      <c r="M21" s="5">
        <f t="shared" si="4"/>
        <v>1.6406919899999999</v>
      </c>
      <c r="N21" s="5">
        <f t="shared" si="5"/>
        <v>1.9041661619999999</v>
      </c>
    </row>
    <row r="22" spans="1:14" x14ac:dyDescent="0.25">
      <c r="A22" s="2">
        <f>'Input-Rainfall Data'!O21</f>
        <v>12.5</v>
      </c>
      <c r="B22" s="5" cm="1">
        <f t="array" ref="B22">_xlfn.XLOOKUP(A22,'Input-Rainfall Data'!$O$6:$O$74,_xlfn.XLOOKUP('OSD Mass-Curve'!$B$2,'Input-Rainfall Data'!$P$4:$V$4,'Input-Rainfall Data'!$P$6:$V$74))</f>
        <v>74.95</v>
      </c>
      <c r="C22" s="5">
        <f>'Drainage calculator'!F$32</f>
        <v>1</v>
      </c>
      <c r="D22" s="5">
        <f>'Drainage calculator'!F$33</f>
        <v>0.9</v>
      </c>
      <c r="E22" s="16">
        <f>'Drainage calculator'!F$34</f>
        <v>0.24339</v>
      </c>
      <c r="F22" s="17">
        <f t="shared" si="0"/>
        <v>200</v>
      </c>
      <c r="G22" s="17">
        <f>'Drainage calculator'!F$6</f>
        <v>150</v>
      </c>
      <c r="H22" s="17">
        <f>'Drainage calculator'!F$7</f>
        <v>50</v>
      </c>
      <c r="I22" s="17">
        <f>'Drainage calculator'!F$9</f>
        <v>150</v>
      </c>
      <c r="J22" s="5">
        <f t="shared" si="1"/>
        <v>4.8198783541666668</v>
      </c>
      <c r="K22" s="5">
        <f t="shared" si="2"/>
        <v>3.6149087656250001</v>
      </c>
      <c r="L22" s="5">
        <f t="shared" si="3"/>
        <v>2.2787388749999997</v>
      </c>
      <c r="M22" s="5">
        <f t="shared" si="4"/>
        <v>1.7090541562499997</v>
      </c>
      <c r="N22" s="5">
        <f t="shared" si="5"/>
        <v>1.9058546093750004</v>
      </c>
    </row>
    <row r="23" spans="1:14" x14ac:dyDescent="0.25">
      <c r="A23" s="2">
        <f>'Input-Rainfall Data'!O22</f>
        <v>13</v>
      </c>
      <c r="B23" s="5" cm="1">
        <f t="array" ref="B23">_xlfn.XLOOKUP(A23,'Input-Rainfall Data'!$O$6:$O$74,_xlfn.XLOOKUP('OSD Mass-Curve'!$B$2,'Input-Rainfall Data'!$P$4:$V$4,'Input-Rainfall Data'!$P$6:$V$74))</f>
        <v>73.34</v>
      </c>
      <c r="C23" s="5">
        <f>'Drainage calculator'!F$32</f>
        <v>1</v>
      </c>
      <c r="D23" s="5">
        <f>'Drainage calculator'!F$33</f>
        <v>0.9</v>
      </c>
      <c r="E23" s="16">
        <f>'Drainage calculator'!F$34</f>
        <v>0.24339</v>
      </c>
      <c r="F23" s="17">
        <f t="shared" si="0"/>
        <v>200</v>
      </c>
      <c r="G23" s="17">
        <f>'Drainage calculator'!F$6</f>
        <v>150</v>
      </c>
      <c r="H23" s="17">
        <f>'Drainage calculator'!F$7</f>
        <v>50</v>
      </c>
      <c r="I23" s="17">
        <f>'Drainage calculator'!F$9</f>
        <v>150</v>
      </c>
      <c r="J23" s="5">
        <f t="shared" si="1"/>
        <v>4.7163426083333331</v>
      </c>
      <c r="K23" s="5">
        <f t="shared" si="2"/>
        <v>3.6787472345000003</v>
      </c>
      <c r="L23" s="5">
        <f t="shared" si="3"/>
        <v>2.2787388749999997</v>
      </c>
      <c r="M23" s="5">
        <f t="shared" si="4"/>
        <v>1.7774163224999997</v>
      </c>
      <c r="N23" s="5">
        <f t="shared" si="5"/>
        <v>1.9013309120000006</v>
      </c>
    </row>
    <row r="24" spans="1:14" x14ac:dyDescent="0.25">
      <c r="A24" s="2">
        <f>'Input-Rainfall Data'!O23</f>
        <v>13.5</v>
      </c>
      <c r="B24" s="5" cm="1">
        <f t="array" ref="B24">_xlfn.XLOOKUP(A24,'Input-Rainfall Data'!$O$6:$O$74,_xlfn.XLOOKUP('OSD Mass-Curve'!$B$2,'Input-Rainfall Data'!$P$4:$V$4,'Input-Rainfall Data'!$P$6:$V$74))</f>
        <v>71.73</v>
      </c>
      <c r="C24" s="5">
        <f>'Drainage calculator'!F$32</f>
        <v>1</v>
      </c>
      <c r="D24" s="5">
        <f>'Drainage calculator'!F$33</f>
        <v>0.9</v>
      </c>
      <c r="E24" s="16">
        <f>'Drainage calculator'!F$34</f>
        <v>0.24339</v>
      </c>
      <c r="F24" s="17">
        <f t="shared" si="0"/>
        <v>200</v>
      </c>
      <c r="G24" s="17">
        <f>'Drainage calculator'!F$6</f>
        <v>150</v>
      </c>
      <c r="H24" s="17">
        <f>'Drainage calculator'!F$7</f>
        <v>50</v>
      </c>
      <c r="I24" s="17">
        <f>'Drainage calculator'!F$9</f>
        <v>150</v>
      </c>
      <c r="J24" s="5">
        <f t="shared" si="1"/>
        <v>4.6128068625000003</v>
      </c>
      <c r="K24" s="5">
        <f t="shared" si="2"/>
        <v>3.7363735586250004</v>
      </c>
      <c r="L24" s="5">
        <f t="shared" si="3"/>
        <v>2.2787388749999997</v>
      </c>
      <c r="M24" s="5">
        <f t="shared" si="4"/>
        <v>1.8457784887499999</v>
      </c>
      <c r="N24" s="5">
        <f t="shared" si="5"/>
        <v>1.8905950698750005</v>
      </c>
    </row>
    <row r="25" spans="1:14" x14ac:dyDescent="0.25">
      <c r="A25" s="2">
        <f>'Input-Rainfall Data'!O24</f>
        <v>14</v>
      </c>
      <c r="B25" s="5" cm="1">
        <f t="array" ref="B25">_xlfn.XLOOKUP(A25,'Input-Rainfall Data'!$O$6:$O$74,_xlfn.XLOOKUP('OSD Mass-Curve'!$B$2,'Input-Rainfall Data'!$P$4:$V$4,'Input-Rainfall Data'!$P$6:$V$74))</f>
        <v>70.12</v>
      </c>
      <c r="C25" s="5">
        <f>'Drainage calculator'!F$32</f>
        <v>1</v>
      </c>
      <c r="D25" s="5">
        <f>'Drainage calculator'!F$33</f>
        <v>0.9</v>
      </c>
      <c r="E25" s="16">
        <f>'Drainage calculator'!F$34</f>
        <v>0.24339</v>
      </c>
      <c r="F25" s="17">
        <f t="shared" si="0"/>
        <v>200</v>
      </c>
      <c r="G25" s="17">
        <f>'Drainage calculator'!F$6</f>
        <v>150</v>
      </c>
      <c r="H25" s="17">
        <f>'Drainage calculator'!F$7</f>
        <v>50</v>
      </c>
      <c r="I25" s="17">
        <f>'Drainage calculator'!F$9</f>
        <v>150</v>
      </c>
      <c r="J25" s="5">
        <f t="shared" si="1"/>
        <v>4.5092711166666675</v>
      </c>
      <c r="K25" s="5">
        <f t="shared" si="2"/>
        <v>3.7877877380000009</v>
      </c>
      <c r="L25" s="5">
        <f t="shared" si="3"/>
        <v>2.2787388749999997</v>
      </c>
      <c r="M25" s="5">
        <f t="shared" si="4"/>
        <v>1.9141406549999997</v>
      </c>
      <c r="N25" s="5">
        <f t="shared" si="5"/>
        <v>1.8736470830000012</v>
      </c>
    </row>
    <row r="26" spans="1:14" x14ac:dyDescent="0.25">
      <c r="A26" s="2">
        <f>'Input-Rainfall Data'!O25</f>
        <v>14.5</v>
      </c>
      <c r="B26" s="5" cm="1">
        <f t="array" ref="B26">_xlfn.XLOOKUP(A26,'Input-Rainfall Data'!$O$6:$O$74,_xlfn.XLOOKUP('OSD Mass-Curve'!$B$2,'Input-Rainfall Data'!$P$4:$V$4,'Input-Rainfall Data'!$P$6:$V$74))</f>
        <v>68.510000000000005</v>
      </c>
      <c r="C26" s="5">
        <f>'Drainage calculator'!F$32</f>
        <v>1</v>
      </c>
      <c r="D26" s="5">
        <f>'Drainage calculator'!F$33</f>
        <v>0.9</v>
      </c>
      <c r="E26" s="16">
        <f>'Drainage calculator'!F$34</f>
        <v>0.24339</v>
      </c>
      <c r="F26" s="17">
        <f t="shared" si="0"/>
        <v>200</v>
      </c>
      <c r="G26" s="17">
        <f>'Drainage calculator'!F$6</f>
        <v>150</v>
      </c>
      <c r="H26" s="17">
        <f>'Drainage calculator'!F$7</f>
        <v>50</v>
      </c>
      <c r="I26" s="17">
        <f>'Drainage calculator'!F$9</f>
        <v>150</v>
      </c>
      <c r="J26" s="5">
        <f t="shared" si="1"/>
        <v>4.4057353708333338</v>
      </c>
      <c r="K26" s="5">
        <f t="shared" si="2"/>
        <v>3.832989772625</v>
      </c>
      <c r="L26" s="5">
        <f t="shared" si="3"/>
        <v>2.2787388749999997</v>
      </c>
      <c r="M26" s="5">
        <f t="shared" si="4"/>
        <v>1.9825028212499998</v>
      </c>
      <c r="N26" s="5">
        <f t="shared" si="5"/>
        <v>1.8504869513750002</v>
      </c>
    </row>
    <row r="27" spans="1:14" x14ac:dyDescent="0.25">
      <c r="A27" s="2">
        <f>'Input-Rainfall Data'!O26</f>
        <v>15</v>
      </c>
      <c r="B27" s="5" cm="1">
        <f t="array" ref="B27">_xlfn.XLOOKUP(A27,'Input-Rainfall Data'!$O$6:$O$74,_xlfn.XLOOKUP('OSD Mass-Curve'!$B$2,'Input-Rainfall Data'!$P$4:$V$4,'Input-Rainfall Data'!$P$6:$V$74))</f>
        <v>66.900000000000006</v>
      </c>
      <c r="C27" s="5">
        <f>'Drainage calculator'!F$32</f>
        <v>1</v>
      </c>
      <c r="D27" s="5">
        <f>'Drainage calculator'!F$33</f>
        <v>0.9</v>
      </c>
      <c r="E27" s="16">
        <f>'Drainage calculator'!F$34</f>
        <v>0.24339</v>
      </c>
      <c r="F27" s="17">
        <f t="shared" si="0"/>
        <v>200</v>
      </c>
      <c r="G27" s="17">
        <f>'Drainage calculator'!F$6</f>
        <v>150</v>
      </c>
      <c r="H27" s="17">
        <f>'Drainage calculator'!F$7</f>
        <v>50</v>
      </c>
      <c r="I27" s="17">
        <f>'Drainage calculator'!F$9</f>
        <v>150</v>
      </c>
      <c r="J27" s="5">
        <f t="shared" si="1"/>
        <v>4.3021996250000001</v>
      </c>
      <c r="K27" s="5">
        <f t="shared" si="2"/>
        <v>3.8719796624999998</v>
      </c>
      <c r="L27" s="5">
        <f t="shared" si="3"/>
        <v>2.2787388749999997</v>
      </c>
      <c r="M27" s="5">
        <f t="shared" si="4"/>
        <v>2.0508649874999998</v>
      </c>
      <c r="N27" s="5">
        <f t="shared" si="5"/>
        <v>1.821114675</v>
      </c>
    </row>
    <row r="28" spans="1:14" x14ac:dyDescent="0.25">
      <c r="A28" s="2">
        <f>'Input-Rainfall Data'!O27</f>
        <v>15.5</v>
      </c>
      <c r="B28" s="5" cm="1">
        <f t="array" ref="B28">_xlfn.XLOOKUP(A28,'Input-Rainfall Data'!$O$6:$O$74,_xlfn.XLOOKUP('OSD Mass-Curve'!$B$2,'Input-Rainfall Data'!$P$4:$V$4,'Input-Rainfall Data'!$P$6:$V$74))</f>
        <v>65.87</v>
      </c>
      <c r="C28" s="5">
        <f>'Drainage calculator'!F$32</f>
        <v>1</v>
      </c>
      <c r="D28" s="5">
        <f>'Drainage calculator'!F$33</f>
        <v>0.9</v>
      </c>
      <c r="E28" s="16">
        <f>'Drainage calculator'!F$34</f>
        <v>0.24339</v>
      </c>
      <c r="F28" s="17">
        <f t="shared" si="0"/>
        <v>200</v>
      </c>
      <c r="G28" s="17">
        <f>'Drainage calculator'!F$6</f>
        <v>150</v>
      </c>
      <c r="H28" s="17">
        <f>'Drainage calculator'!F$7</f>
        <v>50</v>
      </c>
      <c r="I28" s="17">
        <f>'Drainage calculator'!F$9</f>
        <v>150</v>
      </c>
      <c r="J28" s="5">
        <f t="shared" si="1"/>
        <v>4.2359624708333339</v>
      </c>
      <c r="K28" s="5">
        <f t="shared" si="2"/>
        <v>3.9394450978750006</v>
      </c>
      <c r="L28" s="5">
        <f t="shared" si="3"/>
        <v>2.2787388749999997</v>
      </c>
      <c r="M28" s="5">
        <f t="shared" si="4"/>
        <v>2.1192271537499998</v>
      </c>
      <c r="N28" s="5">
        <f t="shared" si="5"/>
        <v>1.8202179441250008</v>
      </c>
    </row>
    <row r="29" spans="1:14" x14ac:dyDescent="0.25">
      <c r="A29" s="2">
        <f>'Input-Rainfall Data'!O28</f>
        <v>16</v>
      </c>
      <c r="B29" s="5" cm="1">
        <f t="array" ref="B29">_xlfn.XLOOKUP(A29,'Input-Rainfall Data'!$O$6:$O$74,_xlfn.XLOOKUP('OSD Mass-Curve'!$B$2,'Input-Rainfall Data'!$P$4:$V$4,'Input-Rainfall Data'!$P$6:$V$74))</f>
        <v>64.84</v>
      </c>
      <c r="C29" s="5">
        <f>'Drainage calculator'!F$32</f>
        <v>1</v>
      </c>
      <c r="D29" s="5">
        <f>'Drainage calculator'!F$33</f>
        <v>0.9</v>
      </c>
      <c r="E29" s="16">
        <f>'Drainage calculator'!F$34</f>
        <v>0.24339</v>
      </c>
      <c r="F29" s="17">
        <f t="shared" si="0"/>
        <v>200</v>
      </c>
      <c r="G29" s="17">
        <f>'Drainage calculator'!F$6</f>
        <v>150</v>
      </c>
      <c r="H29" s="17">
        <f>'Drainage calculator'!F$7</f>
        <v>50</v>
      </c>
      <c r="I29" s="17">
        <f>'Drainage calculator'!F$9</f>
        <v>150</v>
      </c>
      <c r="J29" s="5">
        <f t="shared" si="1"/>
        <v>4.1697253166666668</v>
      </c>
      <c r="K29" s="5">
        <f t="shared" si="2"/>
        <v>4.0029363040000003</v>
      </c>
      <c r="L29" s="5">
        <f t="shared" si="3"/>
        <v>2.2787388749999997</v>
      </c>
      <c r="M29" s="5">
        <f t="shared" si="4"/>
        <v>2.1875893199999994</v>
      </c>
      <c r="N29" s="5">
        <f t="shared" si="5"/>
        <v>1.8153469840000009</v>
      </c>
    </row>
    <row r="30" spans="1:14" x14ac:dyDescent="0.25">
      <c r="A30" s="2">
        <f>'Input-Rainfall Data'!O29</f>
        <v>16.5</v>
      </c>
      <c r="B30" s="5" cm="1">
        <f t="array" ref="B30">_xlfn.XLOOKUP(A30,'Input-Rainfall Data'!$O$6:$O$74,_xlfn.XLOOKUP('OSD Mass-Curve'!$B$2,'Input-Rainfall Data'!$P$4:$V$4,'Input-Rainfall Data'!$P$6:$V$74))</f>
        <v>63.81</v>
      </c>
      <c r="C30" s="5">
        <f>'Drainage calculator'!F$32</f>
        <v>1</v>
      </c>
      <c r="D30" s="5">
        <f>'Drainage calculator'!F$33</f>
        <v>0.9</v>
      </c>
      <c r="E30" s="16">
        <f>'Drainage calculator'!F$34</f>
        <v>0.24339</v>
      </c>
      <c r="F30" s="17">
        <f t="shared" si="0"/>
        <v>200</v>
      </c>
      <c r="G30" s="17">
        <f>'Drainage calculator'!F$6</f>
        <v>150</v>
      </c>
      <c r="H30" s="17">
        <f>'Drainage calculator'!F$7</f>
        <v>50</v>
      </c>
      <c r="I30" s="17">
        <f>'Drainage calculator'!F$9</f>
        <v>150</v>
      </c>
      <c r="J30" s="5">
        <f t="shared" si="1"/>
        <v>4.1034881624999997</v>
      </c>
      <c r="K30" s="5">
        <f t="shared" si="2"/>
        <v>4.0624532808750002</v>
      </c>
      <c r="L30" s="5">
        <f t="shared" si="3"/>
        <v>2.2787388749999997</v>
      </c>
      <c r="M30" s="5">
        <f t="shared" si="4"/>
        <v>2.2559514862499999</v>
      </c>
      <c r="N30" s="5">
        <f t="shared" si="5"/>
        <v>1.8065017946250004</v>
      </c>
    </row>
    <row r="31" spans="1:14" x14ac:dyDescent="0.25">
      <c r="A31" s="2">
        <f>'Input-Rainfall Data'!O30</f>
        <v>17</v>
      </c>
      <c r="B31" s="5" cm="1">
        <f t="array" ref="B31">_xlfn.XLOOKUP(A31,'Input-Rainfall Data'!$O$6:$O$74,_xlfn.XLOOKUP('OSD Mass-Curve'!$B$2,'Input-Rainfall Data'!$P$4:$V$4,'Input-Rainfall Data'!$P$6:$V$74))</f>
        <v>62.78</v>
      </c>
      <c r="C31" s="5">
        <f>'Drainage calculator'!F$32</f>
        <v>1</v>
      </c>
      <c r="D31" s="5">
        <f>'Drainage calculator'!F$33</f>
        <v>0.9</v>
      </c>
      <c r="E31" s="16">
        <f>'Drainage calculator'!F$34</f>
        <v>0.24339</v>
      </c>
      <c r="F31" s="17">
        <f t="shared" si="0"/>
        <v>200</v>
      </c>
      <c r="G31" s="17">
        <f>'Drainage calculator'!F$6</f>
        <v>150</v>
      </c>
      <c r="H31" s="17">
        <f>'Drainage calculator'!F$7</f>
        <v>50</v>
      </c>
      <c r="I31" s="17">
        <f>'Drainage calculator'!F$9</f>
        <v>150</v>
      </c>
      <c r="J31" s="5">
        <f t="shared" si="1"/>
        <v>4.0372510083333335</v>
      </c>
      <c r="K31" s="5">
        <f t="shared" si="2"/>
        <v>4.1179960284999995</v>
      </c>
      <c r="L31" s="5">
        <f t="shared" si="3"/>
        <v>2.2787388749999997</v>
      </c>
      <c r="M31" s="5">
        <f t="shared" si="4"/>
        <v>2.3243136524999999</v>
      </c>
      <c r="N31" s="5">
        <f t="shared" si="5"/>
        <v>1.7936823759999996</v>
      </c>
    </row>
    <row r="32" spans="1:14" x14ac:dyDescent="0.25">
      <c r="A32" s="2">
        <f>'Input-Rainfall Data'!O31</f>
        <v>17.5</v>
      </c>
      <c r="B32" s="5" cm="1">
        <f t="array" ref="B32">_xlfn.XLOOKUP(A32,'Input-Rainfall Data'!$O$6:$O$74,_xlfn.XLOOKUP('OSD Mass-Curve'!$B$2,'Input-Rainfall Data'!$P$4:$V$4,'Input-Rainfall Data'!$P$6:$V$74))</f>
        <v>61.75</v>
      </c>
      <c r="C32" s="5">
        <f>'Drainage calculator'!F$32</f>
        <v>1</v>
      </c>
      <c r="D32" s="5">
        <f>'Drainage calculator'!F$33</f>
        <v>0.9</v>
      </c>
      <c r="E32" s="16">
        <f>'Drainage calculator'!F$34</f>
        <v>0.24339</v>
      </c>
      <c r="F32" s="17">
        <f t="shared" si="0"/>
        <v>200</v>
      </c>
      <c r="G32" s="17">
        <f>'Drainage calculator'!F$6</f>
        <v>150</v>
      </c>
      <c r="H32" s="17">
        <f>'Drainage calculator'!F$7</f>
        <v>50</v>
      </c>
      <c r="I32" s="17">
        <f>'Drainage calculator'!F$9</f>
        <v>150</v>
      </c>
      <c r="J32" s="5">
        <f t="shared" si="1"/>
        <v>3.9710138541666664</v>
      </c>
      <c r="K32" s="5">
        <f t="shared" si="2"/>
        <v>4.1695645468749998</v>
      </c>
      <c r="L32" s="5">
        <f t="shared" si="3"/>
        <v>2.2787388749999997</v>
      </c>
      <c r="M32" s="5">
        <f t="shared" si="4"/>
        <v>2.3926758187499999</v>
      </c>
      <c r="N32" s="5">
        <f t="shared" si="5"/>
        <v>1.7768887281249999</v>
      </c>
    </row>
    <row r="33" spans="1:14" x14ac:dyDescent="0.25">
      <c r="A33" s="2">
        <f>'Input-Rainfall Data'!O32</f>
        <v>18</v>
      </c>
      <c r="B33" s="5" cm="1">
        <f t="array" ref="B33">_xlfn.XLOOKUP(A33,'Input-Rainfall Data'!$O$6:$O$74,_xlfn.XLOOKUP('OSD Mass-Curve'!$B$2,'Input-Rainfall Data'!$P$4:$V$4,'Input-Rainfall Data'!$P$6:$V$74))</f>
        <v>60.72</v>
      </c>
      <c r="C33" s="5">
        <f>'Drainage calculator'!F$32</f>
        <v>1</v>
      </c>
      <c r="D33" s="5">
        <f>'Drainage calculator'!F$33</f>
        <v>0.9</v>
      </c>
      <c r="E33" s="16">
        <f>'Drainage calculator'!F$34</f>
        <v>0.24339</v>
      </c>
      <c r="F33" s="17">
        <f t="shared" si="0"/>
        <v>200</v>
      </c>
      <c r="G33" s="17">
        <f>'Drainage calculator'!F$6</f>
        <v>150</v>
      </c>
      <c r="H33" s="17">
        <f>'Drainage calculator'!F$7</f>
        <v>50</v>
      </c>
      <c r="I33" s="17">
        <f>'Drainage calculator'!F$9</f>
        <v>150</v>
      </c>
      <c r="J33" s="5">
        <f t="shared" si="1"/>
        <v>3.9047767000000002</v>
      </c>
      <c r="K33" s="5">
        <f t="shared" si="2"/>
        <v>4.2171588360000003</v>
      </c>
      <c r="L33" s="5">
        <f t="shared" si="3"/>
        <v>2.2787388749999997</v>
      </c>
      <c r="M33" s="5">
        <f t="shared" si="4"/>
        <v>2.4610379849999995</v>
      </c>
      <c r="N33" s="5">
        <f t="shared" si="5"/>
        <v>1.7561208510000008</v>
      </c>
    </row>
    <row r="34" spans="1:14" x14ac:dyDescent="0.25">
      <c r="A34" s="2">
        <f>'Input-Rainfall Data'!O33</f>
        <v>18.5</v>
      </c>
      <c r="B34" s="5" cm="1">
        <f t="array" ref="B34">_xlfn.XLOOKUP(A34,'Input-Rainfall Data'!$O$6:$O$74,_xlfn.XLOOKUP('OSD Mass-Curve'!$B$2,'Input-Rainfall Data'!$P$4:$V$4,'Input-Rainfall Data'!$P$6:$V$74))</f>
        <v>59.69</v>
      </c>
      <c r="C34" s="5">
        <f>'Drainage calculator'!F$32</f>
        <v>1</v>
      </c>
      <c r="D34" s="5">
        <f>'Drainage calculator'!F$33</f>
        <v>0.9</v>
      </c>
      <c r="E34" s="16">
        <f>'Drainage calculator'!F$34</f>
        <v>0.24339</v>
      </c>
      <c r="F34" s="17">
        <f t="shared" si="0"/>
        <v>200</v>
      </c>
      <c r="G34" s="17">
        <f>'Drainage calculator'!F$6</f>
        <v>150</v>
      </c>
      <c r="H34" s="17">
        <f>'Drainage calculator'!F$7</f>
        <v>50</v>
      </c>
      <c r="I34" s="17">
        <f>'Drainage calculator'!F$9</f>
        <v>150</v>
      </c>
      <c r="J34" s="5">
        <f t="shared" si="1"/>
        <v>3.8385395458333336</v>
      </c>
      <c r="K34" s="5">
        <f t="shared" si="2"/>
        <v>4.260778895875001</v>
      </c>
      <c r="L34" s="5">
        <f t="shared" si="3"/>
        <v>2.2787388749999997</v>
      </c>
      <c r="M34" s="5">
        <f t="shared" si="4"/>
        <v>2.5294001512499995</v>
      </c>
      <c r="N34" s="5">
        <f t="shared" si="5"/>
        <v>1.7313787446250015</v>
      </c>
    </row>
    <row r="35" spans="1:14" x14ac:dyDescent="0.25">
      <c r="A35" s="2">
        <f>'Input-Rainfall Data'!O34</f>
        <v>19</v>
      </c>
      <c r="B35" s="5" cm="1">
        <f t="array" ref="B35">_xlfn.XLOOKUP(A35,'Input-Rainfall Data'!$O$6:$O$74,_xlfn.XLOOKUP('OSD Mass-Curve'!$B$2,'Input-Rainfall Data'!$P$4:$V$4,'Input-Rainfall Data'!$P$6:$V$74))</f>
        <v>58.66</v>
      </c>
      <c r="C35" s="5">
        <f>'Drainage calculator'!F$32</f>
        <v>1</v>
      </c>
      <c r="D35" s="5">
        <f>'Drainage calculator'!F$33</f>
        <v>0.9</v>
      </c>
      <c r="E35" s="16">
        <f>'Drainage calculator'!F$34</f>
        <v>0.24339</v>
      </c>
      <c r="F35" s="17">
        <f t="shared" si="0"/>
        <v>200</v>
      </c>
      <c r="G35" s="17">
        <f>'Drainage calculator'!F$6</f>
        <v>150</v>
      </c>
      <c r="H35" s="17">
        <f>'Drainage calculator'!F$7</f>
        <v>50</v>
      </c>
      <c r="I35" s="17">
        <f>'Drainage calculator'!F$9</f>
        <v>150</v>
      </c>
      <c r="J35" s="5">
        <f t="shared" si="1"/>
        <v>3.7723023916666665</v>
      </c>
      <c r="K35" s="5">
        <f t="shared" si="2"/>
        <v>4.3004247265000002</v>
      </c>
      <c r="L35" s="5">
        <f t="shared" si="3"/>
        <v>2.2787388749999997</v>
      </c>
      <c r="M35" s="5">
        <f t="shared" si="4"/>
        <v>2.5977623175</v>
      </c>
      <c r="N35" s="5">
        <f t="shared" si="5"/>
        <v>1.7026624090000002</v>
      </c>
    </row>
    <row r="36" spans="1:14" x14ac:dyDescent="0.25">
      <c r="A36" s="2">
        <f>'Input-Rainfall Data'!O35</f>
        <v>19.5</v>
      </c>
      <c r="B36" s="5" cm="1">
        <f t="array" ref="B36">_xlfn.XLOOKUP(A36,'Input-Rainfall Data'!$O$6:$O$74,_xlfn.XLOOKUP('OSD Mass-Curve'!$B$2,'Input-Rainfall Data'!$P$4:$V$4,'Input-Rainfall Data'!$P$6:$V$74))</f>
        <v>57.629999999999995</v>
      </c>
      <c r="C36" s="5">
        <f>'Drainage calculator'!F$32</f>
        <v>1</v>
      </c>
      <c r="D36" s="5">
        <f>'Drainage calculator'!F$33</f>
        <v>0.9</v>
      </c>
      <c r="E36" s="16">
        <f>'Drainage calculator'!F$34</f>
        <v>0.24339</v>
      </c>
      <c r="F36" s="17">
        <f t="shared" si="0"/>
        <v>200</v>
      </c>
      <c r="G36" s="17">
        <f>'Drainage calculator'!F$6</f>
        <v>150</v>
      </c>
      <c r="H36" s="17">
        <f>'Drainage calculator'!F$7</f>
        <v>50</v>
      </c>
      <c r="I36" s="17">
        <f>'Drainage calculator'!F$9</f>
        <v>150</v>
      </c>
      <c r="J36" s="5">
        <f t="shared" si="1"/>
        <v>3.7060652374999998</v>
      </c>
      <c r="K36" s="5">
        <f t="shared" si="2"/>
        <v>4.3360963278750004</v>
      </c>
      <c r="L36" s="5">
        <f t="shared" si="3"/>
        <v>2.2787388749999997</v>
      </c>
      <c r="M36" s="5">
        <f t="shared" si="4"/>
        <v>2.66612448375</v>
      </c>
      <c r="N36" s="5">
        <f t="shared" si="5"/>
        <v>1.6699718441250004</v>
      </c>
    </row>
    <row r="37" spans="1:14" x14ac:dyDescent="0.25">
      <c r="A37" s="2">
        <f>'Input-Rainfall Data'!O36</f>
        <v>20</v>
      </c>
      <c r="B37" s="5" cm="1">
        <f t="array" ref="B37">_xlfn.XLOOKUP(A37,'Input-Rainfall Data'!$O$6:$O$74,_xlfn.XLOOKUP('OSD Mass-Curve'!$B$2,'Input-Rainfall Data'!$P$4:$V$4,'Input-Rainfall Data'!$P$6:$V$74))</f>
        <v>56.6</v>
      </c>
      <c r="C37" s="5">
        <f>'Drainage calculator'!F$32</f>
        <v>1</v>
      </c>
      <c r="D37" s="5">
        <f>'Drainage calculator'!F$33</f>
        <v>0.9</v>
      </c>
      <c r="E37" s="16">
        <f>'Drainage calculator'!F$34</f>
        <v>0.24339</v>
      </c>
      <c r="F37" s="17">
        <f t="shared" si="0"/>
        <v>200</v>
      </c>
      <c r="G37" s="17">
        <f>'Drainage calculator'!F$6</f>
        <v>150</v>
      </c>
      <c r="H37" s="17">
        <f>'Drainage calculator'!F$7</f>
        <v>50</v>
      </c>
      <c r="I37" s="17">
        <f>'Drainage calculator'!F$9</f>
        <v>150</v>
      </c>
      <c r="J37" s="5">
        <f t="shared" si="1"/>
        <v>3.6398280833333336</v>
      </c>
      <c r="K37" s="5">
        <f t="shared" si="2"/>
        <v>4.3677937</v>
      </c>
      <c r="L37" s="5">
        <f t="shared" si="3"/>
        <v>2.2787388749999997</v>
      </c>
      <c r="M37" s="5">
        <f t="shared" si="4"/>
        <v>2.73448665</v>
      </c>
      <c r="N37" s="5">
        <f t="shared" si="5"/>
        <v>1.63330705</v>
      </c>
    </row>
    <row r="38" spans="1:14" x14ac:dyDescent="0.25">
      <c r="A38" s="2">
        <f>'Input-Rainfall Data'!O37</f>
        <v>20.5</v>
      </c>
      <c r="B38" s="5" cm="1">
        <f t="array" ref="B38">_xlfn.XLOOKUP(A38,'Input-Rainfall Data'!$O$6:$O$74,_xlfn.XLOOKUP('OSD Mass-Curve'!$B$2,'Input-Rainfall Data'!$P$4:$V$4,'Input-Rainfall Data'!$P$6:$V$74))</f>
        <v>55.89</v>
      </c>
      <c r="C38" s="5">
        <f>'Drainage calculator'!F$32</f>
        <v>1</v>
      </c>
      <c r="D38" s="5">
        <f>'Drainage calculator'!F$33</f>
        <v>0.9</v>
      </c>
      <c r="E38" s="16">
        <f>'Drainage calculator'!F$34</f>
        <v>0.24339</v>
      </c>
      <c r="F38" s="17">
        <f t="shared" si="0"/>
        <v>200</v>
      </c>
      <c r="G38" s="17">
        <f>'Drainage calculator'!F$6</f>
        <v>150</v>
      </c>
      <c r="H38" s="17">
        <f>'Drainage calculator'!F$7</f>
        <v>50</v>
      </c>
      <c r="I38" s="17">
        <f>'Drainage calculator'!F$9</f>
        <v>150</v>
      </c>
      <c r="J38" s="5">
        <f t="shared" si="1"/>
        <v>3.5941694625</v>
      </c>
      <c r="K38" s="5">
        <f t="shared" si="2"/>
        <v>4.4208284388749997</v>
      </c>
      <c r="L38" s="5">
        <f t="shared" si="3"/>
        <v>2.2787388749999997</v>
      </c>
      <c r="M38" s="5">
        <f t="shared" si="4"/>
        <v>2.8028488162499996</v>
      </c>
      <c r="N38" s="5">
        <f t="shared" si="5"/>
        <v>1.6179796226250001</v>
      </c>
    </row>
    <row r="39" spans="1:14" x14ac:dyDescent="0.25">
      <c r="A39" s="2">
        <f>'Input-Rainfall Data'!O38</f>
        <v>21</v>
      </c>
      <c r="B39" s="5" cm="1">
        <f t="array" ref="B39">_xlfn.XLOOKUP(A39,'Input-Rainfall Data'!$O$6:$O$74,_xlfn.XLOOKUP('OSD Mass-Curve'!$B$2,'Input-Rainfall Data'!$P$4:$V$4,'Input-Rainfall Data'!$P$6:$V$74))</f>
        <v>55.18</v>
      </c>
      <c r="C39" s="5">
        <f>'Drainage calculator'!F$32</f>
        <v>1</v>
      </c>
      <c r="D39" s="5">
        <f>'Drainage calculator'!F$33</f>
        <v>0.9</v>
      </c>
      <c r="E39" s="16">
        <f>'Drainage calculator'!F$34</f>
        <v>0.24339</v>
      </c>
      <c r="F39" s="17">
        <f t="shared" si="0"/>
        <v>200</v>
      </c>
      <c r="G39" s="17">
        <f>'Drainage calculator'!F$6</f>
        <v>150</v>
      </c>
      <c r="H39" s="17">
        <f>'Drainage calculator'!F$7</f>
        <v>50</v>
      </c>
      <c r="I39" s="17">
        <f>'Drainage calculator'!F$9</f>
        <v>150</v>
      </c>
      <c r="J39" s="5">
        <f t="shared" si="1"/>
        <v>3.5485108416666669</v>
      </c>
      <c r="K39" s="5">
        <f t="shared" si="2"/>
        <v>4.4711236605</v>
      </c>
      <c r="L39" s="5">
        <f t="shared" si="3"/>
        <v>2.2787388749999997</v>
      </c>
      <c r="M39" s="5">
        <f t="shared" si="4"/>
        <v>2.8712109824999992</v>
      </c>
      <c r="N39" s="5">
        <f t="shared" si="5"/>
        <v>1.5999126780000008</v>
      </c>
    </row>
    <row r="40" spans="1:14" x14ac:dyDescent="0.25">
      <c r="A40" s="2">
        <f>'Input-Rainfall Data'!O39</f>
        <v>21.5</v>
      </c>
      <c r="B40" s="5" cm="1">
        <f t="array" ref="B40">_xlfn.XLOOKUP(A40,'Input-Rainfall Data'!$O$6:$O$74,_xlfn.XLOOKUP('OSD Mass-Curve'!$B$2,'Input-Rainfall Data'!$P$4:$V$4,'Input-Rainfall Data'!$P$6:$V$74))</f>
        <v>54.47</v>
      </c>
      <c r="C40" s="5">
        <f>'Drainage calculator'!F$32</f>
        <v>1</v>
      </c>
      <c r="D40" s="5">
        <f>'Drainage calculator'!F$33</f>
        <v>0.9</v>
      </c>
      <c r="E40" s="16">
        <f>'Drainage calculator'!F$34</f>
        <v>0.24339</v>
      </c>
      <c r="F40" s="17">
        <f t="shared" si="0"/>
        <v>200</v>
      </c>
      <c r="G40" s="17">
        <f>'Drainage calculator'!F$6</f>
        <v>150</v>
      </c>
      <c r="H40" s="17">
        <f>'Drainage calculator'!F$7</f>
        <v>50</v>
      </c>
      <c r="I40" s="17">
        <f>'Drainage calculator'!F$9</f>
        <v>150</v>
      </c>
      <c r="J40" s="5">
        <f t="shared" si="1"/>
        <v>3.5028522208333333</v>
      </c>
      <c r="K40" s="5">
        <f t="shared" si="2"/>
        <v>4.5186793648750001</v>
      </c>
      <c r="L40" s="5">
        <f t="shared" si="3"/>
        <v>2.2787388749999997</v>
      </c>
      <c r="M40" s="5">
        <f t="shared" si="4"/>
        <v>2.9395731487499996</v>
      </c>
      <c r="N40" s="5">
        <f t="shared" si="5"/>
        <v>1.5791062161250005</v>
      </c>
    </row>
    <row r="41" spans="1:14" x14ac:dyDescent="0.25">
      <c r="A41" s="2">
        <f>'Input-Rainfall Data'!O40</f>
        <v>22</v>
      </c>
      <c r="B41" s="5" cm="1">
        <f t="array" ref="B41">_xlfn.XLOOKUP(A41,'Input-Rainfall Data'!$O$6:$O$74,_xlfn.XLOOKUP('OSD Mass-Curve'!$B$2,'Input-Rainfall Data'!$P$4:$V$4,'Input-Rainfall Data'!$P$6:$V$74))</f>
        <v>53.76</v>
      </c>
      <c r="C41" s="5">
        <f>'Drainage calculator'!F$32</f>
        <v>1</v>
      </c>
      <c r="D41" s="5">
        <f>'Drainage calculator'!F$33</f>
        <v>0.9</v>
      </c>
      <c r="E41" s="16">
        <f>'Drainage calculator'!F$34</f>
        <v>0.24339</v>
      </c>
      <c r="F41" s="17">
        <f t="shared" si="0"/>
        <v>200</v>
      </c>
      <c r="G41" s="17">
        <f>'Drainage calculator'!F$6</f>
        <v>150</v>
      </c>
      <c r="H41" s="17">
        <f>'Drainage calculator'!F$7</f>
        <v>50</v>
      </c>
      <c r="I41" s="17">
        <f>'Drainage calculator'!F$9</f>
        <v>150</v>
      </c>
      <c r="J41" s="5">
        <f t="shared" si="1"/>
        <v>3.4571936000000001</v>
      </c>
      <c r="K41" s="5">
        <f t="shared" si="2"/>
        <v>4.563495552</v>
      </c>
      <c r="L41" s="5">
        <f t="shared" si="3"/>
        <v>2.2787388749999997</v>
      </c>
      <c r="M41" s="5">
        <f t="shared" si="4"/>
        <v>3.0079353149999997</v>
      </c>
      <c r="N41" s="5">
        <f t="shared" si="5"/>
        <v>1.5555602370000003</v>
      </c>
    </row>
    <row r="42" spans="1:14" x14ac:dyDescent="0.25">
      <c r="A42" s="2">
        <f>'Input-Rainfall Data'!O41</f>
        <v>22.5</v>
      </c>
      <c r="B42" s="5" cm="1">
        <f t="array" ref="B42">_xlfn.XLOOKUP(A42,'Input-Rainfall Data'!$O$6:$O$74,_xlfn.XLOOKUP('OSD Mass-Curve'!$B$2,'Input-Rainfall Data'!$P$4:$V$4,'Input-Rainfall Data'!$P$6:$V$74))</f>
        <v>53.05</v>
      </c>
      <c r="C42" s="5">
        <f>'Drainage calculator'!F$32</f>
        <v>1</v>
      </c>
      <c r="D42" s="5">
        <f>'Drainage calculator'!F$33</f>
        <v>0.9</v>
      </c>
      <c r="E42" s="16">
        <f>'Drainage calculator'!F$34</f>
        <v>0.24339</v>
      </c>
      <c r="F42" s="17">
        <f t="shared" si="0"/>
        <v>200</v>
      </c>
      <c r="G42" s="17">
        <f>'Drainage calculator'!F$6</f>
        <v>150</v>
      </c>
      <c r="H42" s="17">
        <f>'Drainage calculator'!F$7</f>
        <v>50</v>
      </c>
      <c r="I42" s="17">
        <f>'Drainage calculator'!F$9</f>
        <v>150</v>
      </c>
      <c r="J42" s="5">
        <f t="shared" si="1"/>
        <v>3.4115349791666665</v>
      </c>
      <c r="K42" s="5">
        <f t="shared" si="2"/>
        <v>4.6055722218749997</v>
      </c>
      <c r="L42" s="5">
        <f t="shared" si="3"/>
        <v>2.2787388749999997</v>
      </c>
      <c r="M42" s="5">
        <f t="shared" si="4"/>
        <v>3.0762974812499997</v>
      </c>
      <c r="N42" s="5">
        <f t="shared" si="5"/>
        <v>1.529274740625</v>
      </c>
    </row>
    <row r="43" spans="1:14" x14ac:dyDescent="0.25">
      <c r="A43" s="2">
        <f>'Input-Rainfall Data'!O42</f>
        <v>23</v>
      </c>
      <c r="B43" s="5" cm="1">
        <f t="array" ref="B43">_xlfn.XLOOKUP(A43,'Input-Rainfall Data'!$O$6:$O$74,_xlfn.XLOOKUP('OSD Mass-Curve'!$B$2,'Input-Rainfall Data'!$P$4:$V$4,'Input-Rainfall Data'!$P$6:$V$74))</f>
        <v>52.339999999999996</v>
      </c>
      <c r="C43" s="5">
        <f>'Drainage calculator'!F$32</f>
        <v>1</v>
      </c>
      <c r="D43" s="5">
        <f>'Drainage calculator'!F$33</f>
        <v>0.9</v>
      </c>
      <c r="E43" s="16">
        <f>'Drainage calculator'!F$34</f>
        <v>0.24339</v>
      </c>
      <c r="F43" s="17">
        <f t="shared" si="0"/>
        <v>200</v>
      </c>
      <c r="G43" s="17">
        <f>'Drainage calculator'!F$6</f>
        <v>150</v>
      </c>
      <c r="H43" s="17">
        <f>'Drainage calculator'!F$7</f>
        <v>50</v>
      </c>
      <c r="I43" s="17">
        <f>'Drainage calculator'!F$9</f>
        <v>150</v>
      </c>
      <c r="J43" s="5">
        <f t="shared" si="1"/>
        <v>3.3658763583333333</v>
      </c>
      <c r="K43" s="5">
        <f t="shared" si="2"/>
        <v>4.6449093745000001</v>
      </c>
      <c r="L43" s="5">
        <f t="shared" si="3"/>
        <v>2.2787388749999997</v>
      </c>
      <c r="M43" s="5">
        <f t="shared" si="4"/>
        <v>3.1446596474999997</v>
      </c>
      <c r="N43" s="5">
        <f t="shared" si="5"/>
        <v>1.5002497270000004</v>
      </c>
    </row>
    <row r="44" spans="1:14" x14ac:dyDescent="0.25">
      <c r="A44" s="2">
        <f>'Input-Rainfall Data'!O43</f>
        <v>23.5</v>
      </c>
      <c r="B44" s="5" cm="1">
        <f t="array" ref="B44">_xlfn.XLOOKUP(A44,'Input-Rainfall Data'!$O$6:$O$74,_xlfn.XLOOKUP('OSD Mass-Curve'!$B$2,'Input-Rainfall Data'!$P$4:$V$4,'Input-Rainfall Data'!$P$6:$V$74))</f>
        <v>51.629999999999995</v>
      </c>
      <c r="C44" s="5">
        <f>'Drainage calculator'!F$32</f>
        <v>1</v>
      </c>
      <c r="D44" s="5">
        <f>'Drainage calculator'!F$33</f>
        <v>0.9</v>
      </c>
      <c r="E44" s="16">
        <f>'Drainage calculator'!F$34</f>
        <v>0.24339</v>
      </c>
      <c r="F44" s="17">
        <f t="shared" si="0"/>
        <v>200</v>
      </c>
      <c r="G44" s="17">
        <f>'Drainage calculator'!F$6</f>
        <v>150</v>
      </c>
      <c r="H44" s="17">
        <f>'Drainage calculator'!F$7</f>
        <v>50</v>
      </c>
      <c r="I44" s="17">
        <f>'Drainage calculator'!F$9</f>
        <v>150</v>
      </c>
      <c r="J44" s="5">
        <f t="shared" si="1"/>
        <v>3.3202177374999997</v>
      </c>
      <c r="K44" s="5">
        <f t="shared" si="2"/>
        <v>4.6815070098749993</v>
      </c>
      <c r="L44" s="5">
        <f t="shared" si="3"/>
        <v>2.2787388749999997</v>
      </c>
      <c r="M44" s="5">
        <f t="shared" si="4"/>
        <v>3.2130218137499997</v>
      </c>
      <c r="N44" s="5">
        <f t="shared" si="5"/>
        <v>1.4684851961249996</v>
      </c>
    </row>
    <row r="45" spans="1:14" x14ac:dyDescent="0.25">
      <c r="A45" s="2">
        <f>'Input-Rainfall Data'!O44</f>
        <v>24</v>
      </c>
      <c r="B45" s="5" cm="1">
        <f t="array" ref="B45">_xlfn.XLOOKUP(A45,'Input-Rainfall Data'!$O$6:$O$74,_xlfn.XLOOKUP('OSD Mass-Curve'!$B$2,'Input-Rainfall Data'!$P$4:$V$4,'Input-Rainfall Data'!$P$6:$V$74))</f>
        <v>50.919999999999995</v>
      </c>
      <c r="C45" s="5">
        <f>'Drainage calculator'!F$32</f>
        <v>1</v>
      </c>
      <c r="D45" s="5">
        <f>'Drainage calculator'!F$33</f>
        <v>0.9</v>
      </c>
      <c r="E45" s="16">
        <f>'Drainage calculator'!F$34</f>
        <v>0.24339</v>
      </c>
      <c r="F45" s="17">
        <f t="shared" si="0"/>
        <v>200</v>
      </c>
      <c r="G45" s="17">
        <f>'Drainage calculator'!F$6</f>
        <v>150</v>
      </c>
      <c r="H45" s="17">
        <f>'Drainage calculator'!F$7</f>
        <v>50</v>
      </c>
      <c r="I45" s="17">
        <f>'Drainage calculator'!F$9</f>
        <v>150</v>
      </c>
      <c r="J45" s="5">
        <f t="shared" si="1"/>
        <v>3.2745591166666661</v>
      </c>
      <c r="K45" s="5">
        <f t="shared" si="2"/>
        <v>4.7153651279999993</v>
      </c>
      <c r="L45" s="5">
        <f t="shared" si="3"/>
        <v>2.2787388749999997</v>
      </c>
      <c r="M45" s="5">
        <f t="shared" si="4"/>
        <v>3.2813839799999998</v>
      </c>
      <c r="N45" s="5">
        <f t="shared" si="5"/>
        <v>1.4339811479999995</v>
      </c>
    </row>
    <row r="46" spans="1:14" x14ac:dyDescent="0.25">
      <c r="A46" s="2">
        <f>'Input-Rainfall Data'!O45</f>
        <v>24.5</v>
      </c>
      <c r="B46" s="5" cm="1">
        <f t="array" ref="B46">_xlfn.XLOOKUP(A46,'Input-Rainfall Data'!$O$6:$O$74,_xlfn.XLOOKUP('OSD Mass-Curve'!$B$2,'Input-Rainfall Data'!$P$4:$V$4,'Input-Rainfall Data'!$P$6:$V$74))</f>
        <v>50.209999999999994</v>
      </c>
      <c r="C46" s="5">
        <f>'Drainage calculator'!F$32</f>
        <v>1</v>
      </c>
      <c r="D46" s="5">
        <f>'Drainage calculator'!F$33</f>
        <v>0.9</v>
      </c>
      <c r="E46" s="16">
        <f>'Drainage calculator'!F$34</f>
        <v>0.24339</v>
      </c>
      <c r="F46" s="17">
        <f t="shared" si="0"/>
        <v>200</v>
      </c>
      <c r="G46" s="17">
        <f>'Drainage calculator'!F$6</f>
        <v>150</v>
      </c>
      <c r="H46" s="17">
        <f>'Drainage calculator'!F$7</f>
        <v>50</v>
      </c>
      <c r="I46" s="17">
        <f>'Drainage calculator'!F$9</f>
        <v>150</v>
      </c>
      <c r="J46" s="5">
        <f t="shared" si="1"/>
        <v>3.2289004958333325</v>
      </c>
      <c r="K46" s="5">
        <f t="shared" si="2"/>
        <v>4.746483728874999</v>
      </c>
      <c r="L46" s="5">
        <f t="shared" si="3"/>
        <v>2.2787388749999997</v>
      </c>
      <c r="M46" s="5">
        <f t="shared" si="4"/>
        <v>3.3497461462499998</v>
      </c>
      <c r="N46" s="5">
        <f t="shared" si="5"/>
        <v>1.3967375826249993</v>
      </c>
    </row>
    <row r="47" spans="1:14" x14ac:dyDescent="0.25">
      <c r="A47" s="2">
        <f>'Input-Rainfall Data'!O46</f>
        <v>25</v>
      </c>
      <c r="B47" s="5" cm="1">
        <f t="array" ref="B47">_xlfn.XLOOKUP(A47,'Input-Rainfall Data'!$O$6:$O$74,_xlfn.XLOOKUP('OSD Mass-Curve'!$B$2,'Input-Rainfall Data'!$P$4:$V$4,'Input-Rainfall Data'!$P$6:$V$74))</f>
        <v>49.5</v>
      </c>
      <c r="C47" s="5">
        <f>'Drainage calculator'!F$32</f>
        <v>1</v>
      </c>
      <c r="D47" s="5">
        <f>'Drainage calculator'!F$33</f>
        <v>0.9</v>
      </c>
      <c r="E47" s="16">
        <f>'Drainage calculator'!F$34</f>
        <v>0.24339</v>
      </c>
      <c r="F47" s="17">
        <f t="shared" si="0"/>
        <v>200</v>
      </c>
      <c r="G47" s="17">
        <f>'Drainage calculator'!F$6</f>
        <v>150</v>
      </c>
      <c r="H47" s="17">
        <f>'Drainage calculator'!F$7</f>
        <v>50</v>
      </c>
      <c r="I47" s="17">
        <f>'Drainage calculator'!F$9</f>
        <v>150</v>
      </c>
      <c r="J47" s="5">
        <f t="shared" si="1"/>
        <v>3.1832418749999998</v>
      </c>
      <c r="K47" s="5">
        <f t="shared" si="2"/>
        <v>4.7748628124999994</v>
      </c>
      <c r="L47" s="5">
        <f t="shared" si="3"/>
        <v>2.2787388749999997</v>
      </c>
      <c r="M47" s="5">
        <f t="shared" si="4"/>
        <v>3.4181083124999994</v>
      </c>
      <c r="N47" s="5">
        <f t="shared" si="5"/>
        <v>1.3567545000000001</v>
      </c>
    </row>
    <row r="48" spans="1:14" x14ac:dyDescent="0.25">
      <c r="A48" s="2">
        <f>'Input-Rainfall Data'!O47</f>
        <v>25.5</v>
      </c>
      <c r="B48" s="5" cm="1">
        <f t="array" ref="B48">_xlfn.XLOOKUP(A48,'Input-Rainfall Data'!$O$6:$O$74,_xlfn.XLOOKUP('OSD Mass-Curve'!$B$2,'Input-Rainfall Data'!$P$4:$V$4,'Input-Rainfall Data'!$P$6:$V$74))</f>
        <v>48.97</v>
      </c>
      <c r="C48" s="5">
        <f>'Drainage calculator'!F$32</f>
        <v>1</v>
      </c>
      <c r="D48" s="5">
        <f>'Drainage calculator'!F$33</f>
        <v>0.9</v>
      </c>
      <c r="E48" s="16">
        <f>'Drainage calculator'!F$34</f>
        <v>0.24339</v>
      </c>
      <c r="F48" s="17">
        <f t="shared" si="0"/>
        <v>200</v>
      </c>
      <c r="G48" s="17">
        <f>'Drainage calculator'!F$6</f>
        <v>150</v>
      </c>
      <c r="H48" s="17">
        <f>'Drainage calculator'!F$7</f>
        <v>50</v>
      </c>
      <c r="I48" s="17">
        <f>'Drainage calculator'!F$9</f>
        <v>150</v>
      </c>
      <c r="J48" s="5">
        <f t="shared" si="1"/>
        <v>3.1491586791666664</v>
      </c>
      <c r="K48" s="5">
        <f t="shared" si="2"/>
        <v>4.8182127791249991</v>
      </c>
      <c r="L48" s="5">
        <f t="shared" si="3"/>
        <v>2.2787388749999997</v>
      </c>
      <c r="M48" s="5">
        <f t="shared" si="4"/>
        <v>3.4864704787499994</v>
      </c>
      <c r="N48" s="5">
        <f t="shared" si="5"/>
        <v>1.3317423003749997</v>
      </c>
    </row>
    <row r="49" spans="1:14" x14ac:dyDescent="0.25">
      <c r="A49" s="2">
        <f>'Input-Rainfall Data'!O48</f>
        <v>26</v>
      </c>
      <c r="B49" s="5" cm="1">
        <f t="array" ref="B49">_xlfn.XLOOKUP(A49,'Input-Rainfall Data'!$O$6:$O$74,_xlfn.XLOOKUP('OSD Mass-Curve'!$B$2,'Input-Rainfall Data'!$P$4:$V$4,'Input-Rainfall Data'!$P$6:$V$74))</f>
        <v>48.44</v>
      </c>
      <c r="C49" s="5">
        <f>'Drainage calculator'!F$32</f>
        <v>1</v>
      </c>
      <c r="D49" s="5">
        <f>'Drainage calculator'!F$33</f>
        <v>0.9</v>
      </c>
      <c r="E49" s="16">
        <f>'Drainage calculator'!F$34</f>
        <v>0.24339</v>
      </c>
      <c r="F49" s="17">
        <f t="shared" si="0"/>
        <v>200</v>
      </c>
      <c r="G49" s="17">
        <f>'Drainage calculator'!F$6</f>
        <v>150</v>
      </c>
      <c r="H49" s="17">
        <f>'Drainage calculator'!F$7</f>
        <v>50</v>
      </c>
      <c r="I49" s="17">
        <f>'Drainage calculator'!F$9</f>
        <v>150</v>
      </c>
      <c r="J49" s="5">
        <f t="shared" si="1"/>
        <v>3.1150754833333334</v>
      </c>
      <c r="K49" s="5">
        <f t="shared" si="2"/>
        <v>4.8595177540000005</v>
      </c>
      <c r="L49" s="5">
        <f t="shared" si="3"/>
        <v>2.2787388749999997</v>
      </c>
      <c r="M49" s="5">
        <f t="shared" si="4"/>
        <v>3.5548326449999994</v>
      </c>
      <c r="N49" s="5">
        <f t="shared" si="5"/>
        <v>1.3046851090000011</v>
      </c>
    </row>
    <row r="50" spans="1:14" x14ac:dyDescent="0.25">
      <c r="A50" s="2">
        <f>'Input-Rainfall Data'!O49</f>
        <v>26.5</v>
      </c>
      <c r="B50" s="5" cm="1">
        <f t="array" ref="B50">_xlfn.XLOOKUP(A50,'Input-Rainfall Data'!$O$6:$O$74,_xlfn.XLOOKUP('OSD Mass-Curve'!$B$2,'Input-Rainfall Data'!$P$4:$V$4,'Input-Rainfall Data'!$P$6:$V$74))</f>
        <v>47.91</v>
      </c>
      <c r="C50" s="5">
        <f>'Drainage calculator'!F$32</f>
        <v>1</v>
      </c>
      <c r="D50" s="5">
        <f>'Drainage calculator'!F$33</f>
        <v>0.9</v>
      </c>
      <c r="E50" s="16">
        <f>'Drainage calculator'!F$34</f>
        <v>0.24339</v>
      </c>
      <c r="F50" s="17">
        <f t="shared" si="0"/>
        <v>200</v>
      </c>
      <c r="G50" s="17">
        <f>'Drainage calculator'!F$6</f>
        <v>150</v>
      </c>
      <c r="H50" s="17">
        <f>'Drainage calculator'!F$7</f>
        <v>50</v>
      </c>
      <c r="I50" s="17">
        <f>'Drainage calculator'!F$9</f>
        <v>150</v>
      </c>
      <c r="J50" s="5">
        <f t="shared" si="1"/>
        <v>3.0809922875</v>
      </c>
      <c r="K50" s="5">
        <f t="shared" si="2"/>
        <v>4.8987777371250001</v>
      </c>
      <c r="L50" s="5">
        <f t="shared" si="3"/>
        <v>2.2787388749999997</v>
      </c>
      <c r="M50" s="5">
        <f t="shared" si="4"/>
        <v>3.6231948112499994</v>
      </c>
      <c r="N50" s="5">
        <f t="shared" si="5"/>
        <v>1.2755829258750007</v>
      </c>
    </row>
    <row r="51" spans="1:14" x14ac:dyDescent="0.25">
      <c r="A51" s="2">
        <f>'Input-Rainfall Data'!O50</f>
        <v>27</v>
      </c>
      <c r="B51" s="5" cm="1">
        <f t="array" ref="B51">_xlfn.XLOOKUP(A51,'Input-Rainfall Data'!$O$6:$O$74,_xlfn.XLOOKUP('OSD Mass-Curve'!$B$2,'Input-Rainfall Data'!$P$4:$V$4,'Input-Rainfall Data'!$P$6:$V$74))</f>
        <v>47.379999999999995</v>
      </c>
      <c r="C51" s="5">
        <f>'Drainage calculator'!F$32</f>
        <v>1</v>
      </c>
      <c r="D51" s="5">
        <f>'Drainage calculator'!F$33</f>
        <v>0.9</v>
      </c>
      <c r="E51" s="16">
        <f>'Drainage calculator'!F$34</f>
        <v>0.24339</v>
      </c>
      <c r="F51" s="17">
        <f t="shared" si="0"/>
        <v>200</v>
      </c>
      <c r="G51" s="17">
        <f>'Drainage calculator'!F$6</f>
        <v>150</v>
      </c>
      <c r="H51" s="17">
        <f>'Drainage calculator'!F$7</f>
        <v>50</v>
      </c>
      <c r="I51" s="17">
        <f>'Drainage calculator'!F$9</f>
        <v>150</v>
      </c>
      <c r="J51" s="5">
        <f t="shared" si="1"/>
        <v>3.0469090916666666</v>
      </c>
      <c r="K51" s="5">
        <f t="shared" si="2"/>
        <v>4.9359927285000005</v>
      </c>
      <c r="L51" s="5">
        <f t="shared" si="3"/>
        <v>2.2787388749999997</v>
      </c>
      <c r="M51" s="5">
        <f t="shared" si="4"/>
        <v>3.6915569774999999</v>
      </c>
      <c r="N51" s="5">
        <f t="shared" si="5"/>
        <v>1.2444357510000006</v>
      </c>
    </row>
    <row r="52" spans="1:14" x14ac:dyDescent="0.25">
      <c r="A52" s="2">
        <f>'Input-Rainfall Data'!O51</f>
        <v>27.5</v>
      </c>
      <c r="B52" s="5" cm="1">
        <f t="array" ref="B52">_xlfn.XLOOKUP(A52,'Input-Rainfall Data'!$O$6:$O$74,_xlfn.XLOOKUP('OSD Mass-Curve'!$B$2,'Input-Rainfall Data'!$P$4:$V$4,'Input-Rainfall Data'!$P$6:$V$74))</f>
        <v>46.849999999999994</v>
      </c>
      <c r="C52" s="5">
        <f>'Drainage calculator'!F$32</f>
        <v>1</v>
      </c>
      <c r="D52" s="5">
        <f>'Drainage calculator'!F$33</f>
        <v>0.9</v>
      </c>
      <c r="E52" s="16">
        <f>'Drainage calculator'!F$34</f>
        <v>0.24339</v>
      </c>
      <c r="F52" s="17">
        <f t="shared" si="0"/>
        <v>200</v>
      </c>
      <c r="G52" s="17">
        <f>'Drainage calculator'!F$6</f>
        <v>150</v>
      </c>
      <c r="H52" s="17">
        <f>'Drainage calculator'!F$7</f>
        <v>50</v>
      </c>
      <c r="I52" s="17">
        <f>'Drainage calculator'!F$9</f>
        <v>150</v>
      </c>
      <c r="J52" s="5">
        <f t="shared" si="1"/>
        <v>3.0128258958333332</v>
      </c>
      <c r="K52" s="5">
        <f t="shared" si="2"/>
        <v>4.9711627281249999</v>
      </c>
      <c r="L52" s="5">
        <f t="shared" si="3"/>
        <v>2.2787388749999997</v>
      </c>
      <c r="M52" s="5">
        <f t="shared" si="4"/>
        <v>3.7599191437499995</v>
      </c>
      <c r="N52" s="5">
        <f t="shared" si="5"/>
        <v>1.2112435843750005</v>
      </c>
    </row>
    <row r="53" spans="1:14" x14ac:dyDescent="0.25">
      <c r="A53" s="2">
        <f>'Input-Rainfall Data'!O52</f>
        <v>28</v>
      </c>
      <c r="B53" s="5" cm="1">
        <f t="array" ref="B53">_xlfn.XLOOKUP(A53,'Input-Rainfall Data'!$O$6:$O$74,_xlfn.XLOOKUP('OSD Mass-Curve'!$B$2,'Input-Rainfall Data'!$P$4:$V$4,'Input-Rainfall Data'!$P$6:$V$74))</f>
        <v>46.319999999999993</v>
      </c>
      <c r="C53" s="5">
        <f>'Drainage calculator'!F$32</f>
        <v>1</v>
      </c>
      <c r="D53" s="5">
        <f>'Drainage calculator'!F$33</f>
        <v>0.9</v>
      </c>
      <c r="E53" s="16">
        <f>'Drainage calculator'!F$34</f>
        <v>0.24339</v>
      </c>
      <c r="F53" s="17">
        <f t="shared" si="0"/>
        <v>200</v>
      </c>
      <c r="G53" s="17">
        <f>'Drainage calculator'!F$6</f>
        <v>150</v>
      </c>
      <c r="H53" s="17">
        <f>'Drainage calculator'!F$7</f>
        <v>50</v>
      </c>
      <c r="I53" s="17">
        <f>'Drainage calculator'!F$9</f>
        <v>150</v>
      </c>
      <c r="J53" s="5">
        <f t="shared" si="1"/>
        <v>2.9787426999999993</v>
      </c>
      <c r="K53" s="5">
        <f t="shared" si="2"/>
        <v>5.0042877359999993</v>
      </c>
      <c r="L53" s="5">
        <f t="shared" si="3"/>
        <v>2.2787388749999997</v>
      </c>
      <c r="M53" s="5">
        <f t="shared" si="4"/>
        <v>3.8282813099999995</v>
      </c>
      <c r="N53" s="5">
        <f t="shared" si="5"/>
        <v>1.1760064259999998</v>
      </c>
    </row>
    <row r="54" spans="1:14" x14ac:dyDescent="0.25">
      <c r="A54" s="2">
        <f>'Input-Rainfall Data'!O53</f>
        <v>28.5</v>
      </c>
      <c r="B54" s="5" cm="1">
        <f t="array" ref="B54">_xlfn.XLOOKUP(A54,'Input-Rainfall Data'!$O$6:$O$74,_xlfn.XLOOKUP('OSD Mass-Curve'!$B$2,'Input-Rainfall Data'!$P$4:$V$4,'Input-Rainfall Data'!$P$6:$V$74))</f>
        <v>45.789999999999992</v>
      </c>
      <c r="C54" s="5">
        <f>'Drainage calculator'!F$32</f>
        <v>1</v>
      </c>
      <c r="D54" s="5">
        <f>'Drainage calculator'!F$33</f>
        <v>0.9</v>
      </c>
      <c r="E54" s="16">
        <f>'Drainage calculator'!F$34</f>
        <v>0.24339</v>
      </c>
      <c r="F54" s="17">
        <f t="shared" si="0"/>
        <v>200</v>
      </c>
      <c r="G54" s="17">
        <f>'Drainage calculator'!F$6</f>
        <v>150</v>
      </c>
      <c r="H54" s="17">
        <f>'Drainage calculator'!F$7</f>
        <v>50</v>
      </c>
      <c r="I54" s="17">
        <f>'Drainage calculator'!F$9</f>
        <v>150</v>
      </c>
      <c r="J54" s="5">
        <f t="shared" si="1"/>
        <v>2.9446595041666659</v>
      </c>
      <c r="K54" s="5">
        <f t="shared" si="2"/>
        <v>5.0353677521249987</v>
      </c>
      <c r="L54" s="5">
        <f t="shared" si="3"/>
        <v>2.2787388749999997</v>
      </c>
      <c r="M54" s="5">
        <f t="shared" si="4"/>
        <v>3.8966434762499995</v>
      </c>
      <c r="N54" s="5">
        <f t="shared" si="5"/>
        <v>1.1387242758749991</v>
      </c>
    </row>
    <row r="55" spans="1:14" x14ac:dyDescent="0.25">
      <c r="A55" s="2">
        <f>'Input-Rainfall Data'!O54</f>
        <v>29</v>
      </c>
      <c r="B55" s="5" cm="1">
        <f t="array" ref="B55">_xlfn.XLOOKUP(A55,'Input-Rainfall Data'!$O$6:$O$74,_xlfn.XLOOKUP('OSD Mass-Curve'!$B$2,'Input-Rainfall Data'!$P$4:$V$4,'Input-Rainfall Data'!$P$6:$V$74))</f>
        <v>45.259999999999991</v>
      </c>
      <c r="C55" s="5">
        <f>'Drainage calculator'!F$32</f>
        <v>1</v>
      </c>
      <c r="D55" s="5">
        <f>'Drainage calculator'!F$33</f>
        <v>0.9</v>
      </c>
      <c r="E55" s="16">
        <f>'Drainage calculator'!F$34</f>
        <v>0.24339</v>
      </c>
      <c r="F55" s="17">
        <f t="shared" si="0"/>
        <v>200</v>
      </c>
      <c r="G55" s="17">
        <f>'Drainage calculator'!F$6</f>
        <v>150</v>
      </c>
      <c r="H55" s="17">
        <f>'Drainage calculator'!F$7</f>
        <v>50</v>
      </c>
      <c r="I55" s="17">
        <f>'Drainage calculator'!F$9</f>
        <v>150</v>
      </c>
      <c r="J55" s="5">
        <f t="shared" si="1"/>
        <v>2.9105763083333325</v>
      </c>
      <c r="K55" s="5">
        <f t="shared" si="2"/>
        <v>5.0644027764999979</v>
      </c>
      <c r="L55" s="5">
        <f t="shared" si="3"/>
        <v>2.2787388749999997</v>
      </c>
      <c r="M55" s="5">
        <f t="shared" si="4"/>
        <v>3.9650056424999995</v>
      </c>
      <c r="N55" s="5">
        <f t="shared" si="5"/>
        <v>1.0993971339999984</v>
      </c>
    </row>
    <row r="56" spans="1:14" x14ac:dyDescent="0.25">
      <c r="A56" s="2">
        <f>'Input-Rainfall Data'!O55</f>
        <v>29.5</v>
      </c>
      <c r="B56" s="5" cm="1">
        <f t="array" ref="B56">_xlfn.XLOOKUP(A56,'Input-Rainfall Data'!$O$6:$O$74,_xlfn.XLOOKUP('OSD Mass-Curve'!$B$2,'Input-Rainfall Data'!$P$4:$V$4,'Input-Rainfall Data'!$P$6:$V$74))</f>
        <v>44.72999999999999</v>
      </c>
      <c r="C56" s="5">
        <f>'Drainage calculator'!F$32</f>
        <v>1</v>
      </c>
      <c r="D56" s="5">
        <f>'Drainage calculator'!F$33</f>
        <v>0.9</v>
      </c>
      <c r="E56" s="16">
        <f>'Drainage calculator'!F$34</f>
        <v>0.24339</v>
      </c>
      <c r="F56" s="17">
        <f t="shared" si="0"/>
        <v>200</v>
      </c>
      <c r="G56" s="17">
        <f>'Drainage calculator'!F$6</f>
        <v>150</v>
      </c>
      <c r="H56" s="17">
        <f>'Drainage calculator'!F$7</f>
        <v>50</v>
      </c>
      <c r="I56" s="17">
        <f>'Drainage calculator'!F$9</f>
        <v>150</v>
      </c>
      <c r="J56" s="5">
        <f t="shared" si="1"/>
        <v>2.8764931124999991</v>
      </c>
      <c r="K56" s="5">
        <f t="shared" si="2"/>
        <v>5.091392809124998</v>
      </c>
      <c r="L56" s="5">
        <f t="shared" si="3"/>
        <v>2.2787388749999997</v>
      </c>
      <c r="M56" s="5">
        <f t="shared" si="4"/>
        <v>4.0333678087499996</v>
      </c>
      <c r="N56" s="5">
        <f t="shared" si="5"/>
        <v>1.0580250003749985</v>
      </c>
    </row>
    <row r="57" spans="1:14" x14ac:dyDescent="0.25">
      <c r="A57" s="2">
        <f>'Input-Rainfall Data'!O56</f>
        <v>30</v>
      </c>
      <c r="B57" s="5" cm="1">
        <f t="array" ref="B57">_xlfn.XLOOKUP(A57,'Input-Rainfall Data'!$O$6:$O$74,_xlfn.XLOOKUP('OSD Mass-Curve'!$B$2,'Input-Rainfall Data'!$P$4:$V$4,'Input-Rainfall Data'!$P$6:$V$74))</f>
        <v>44.2</v>
      </c>
      <c r="C57" s="5">
        <f>'Drainage calculator'!F$32</f>
        <v>1</v>
      </c>
      <c r="D57" s="5">
        <f>'Drainage calculator'!F$33</f>
        <v>0.9</v>
      </c>
      <c r="E57" s="16">
        <f>'Drainage calculator'!F$34</f>
        <v>0.24339</v>
      </c>
      <c r="F57" s="17">
        <f t="shared" si="0"/>
        <v>200</v>
      </c>
      <c r="G57" s="17">
        <f>'Drainage calculator'!F$6</f>
        <v>150</v>
      </c>
      <c r="H57" s="17">
        <f>'Drainage calculator'!F$7</f>
        <v>50</v>
      </c>
      <c r="I57" s="17">
        <f>'Drainage calculator'!F$9</f>
        <v>150</v>
      </c>
      <c r="J57" s="5">
        <f t="shared" si="1"/>
        <v>2.8424099166666665</v>
      </c>
      <c r="K57" s="5">
        <f t="shared" si="2"/>
        <v>5.1163378499999999</v>
      </c>
      <c r="L57" s="5">
        <f t="shared" si="3"/>
        <v>2.2787388749999997</v>
      </c>
      <c r="M57" s="5">
        <f t="shared" si="4"/>
        <v>4.1017299749999996</v>
      </c>
      <c r="N57" s="5">
        <f t="shared" si="5"/>
        <v>1.0146078750000003</v>
      </c>
    </row>
    <row r="58" spans="1:14" x14ac:dyDescent="0.25">
      <c r="A58" s="2">
        <f>'Input-Rainfall Data'!O57</f>
        <v>35</v>
      </c>
      <c r="B58" s="5" cm="1">
        <f t="array" ref="B58">_xlfn.XLOOKUP(A58,'Input-Rainfall Data'!$O$6:$O$74,_xlfn.XLOOKUP('OSD Mass-Curve'!$B$2,'Input-Rainfall Data'!$P$4:$V$4,'Input-Rainfall Data'!$P$6:$V$74))</f>
        <v>40.833333333333336</v>
      </c>
      <c r="C58" s="5">
        <f>'Drainage calculator'!F$32</f>
        <v>1</v>
      </c>
      <c r="D58" s="5">
        <f>'Drainage calculator'!F$33</f>
        <v>0.9</v>
      </c>
      <c r="E58" s="16">
        <f>'Drainage calculator'!F$34</f>
        <v>0.24339</v>
      </c>
      <c r="F58" s="17">
        <f t="shared" si="0"/>
        <v>200</v>
      </c>
      <c r="G58" s="17">
        <f>'Drainage calculator'!F$6</f>
        <v>150</v>
      </c>
      <c r="H58" s="17">
        <f>'Drainage calculator'!F$7</f>
        <v>50</v>
      </c>
      <c r="I58" s="17">
        <f>'Drainage calculator'!F$9</f>
        <v>150</v>
      </c>
      <c r="J58" s="5">
        <f t="shared" si="1"/>
        <v>2.6259065972222224</v>
      </c>
      <c r="K58" s="5">
        <f t="shared" si="2"/>
        <v>5.5144038541666669</v>
      </c>
      <c r="L58" s="5">
        <f t="shared" si="3"/>
        <v>2.2787388749999997</v>
      </c>
      <c r="M58" s="5">
        <f t="shared" si="4"/>
        <v>4.7853516374999998</v>
      </c>
      <c r="N58" s="5">
        <f t="shared" si="5"/>
        <v>0.72905221666666709</v>
      </c>
    </row>
    <row r="59" spans="1:14" x14ac:dyDescent="0.25">
      <c r="A59" s="2">
        <f>'Input-Rainfall Data'!O58</f>
        <v>40</v>
      </c>
      <c r="B59" s="5" cm="1">
        <f t="array" ref="B59">_xlfn.XLOOKUP(A59,'Input-Rainfall Data'!$O$6:$O$74,_xlfn.XLOOKUP('OSD Mass-Curve'!$B$2,'Input-Rainfall Data'!$P$4:$V$4,'Input-Rainfall Data'!$P$6:$V$74))</f>
        <v>37.466666666666669</v>
      </c>
      <c r="C59" s="5">
        <f>'Drainage calculator'!F$32</f>
        <v>1</v>
      </c>
      <c r="D59" s="5">
        <f>'Drainage calculator'!F$33</f>
        <v>0.9</v>
      </c>
      <c r="E59" s="16">
        <f>'Drainage calculator'!F$34</f>
        <v>0.24339</v>
      </c>
      <c r="F59" s="17">
        <f t="shared" si="0"/>
        <v>200</v>
      </c>
      <c r="G59" s="17">
        <f>'Drainage calculator'!F$6</f>
        <v>150</v>
      </c>
      <c r="H59" s="17">
        <f>'Drainage calculator'!F$7</f>
        <v>50</v>
      </c>
      <c r="I59" s="17">
        <f>'Drainage calculator'!F$9</f>
        <v>150</v>
      </c>
      <c r="J59" s="5">
        <f t="shared" si="1"/>
        <v>2.4094032777777779</v>
      </c>
      <c r="K59" s="5">
        <f t="shared" si="2"/>
        <v>5.7825678666666667</v>
      </c>
      <c r="L59" s="5">
        <f t="shared" si="3"/>
        <v>2.2787388749999997</v>
      </c>
      <c r="M59" s="5">
        <f t="shared" si="4"/>
        <v>5.4689733</v>
      </c>
      <c r="N59" s="5">
        <f t="shared" si="5"/>
        <v>0.31359456666666663</v>
      </c>
    </row>
    <row r="60" spans="1:14" x14ac:dyDescent="0.25">
      <c r="A60" s="2">
        <f>'Input-Rainfall Data'!O59</f>
        <v>45</v>
      </c>
      <c r="B60" s="5" cm="1">
        <f t="array" ref="B60">_xlfn.XLOOKUP(A60,'Input-Rainfall Data'!$O$6:$O$74,_xlfn.XLOOKUP('OSD Mass-Curve'!$B$2,'Input-Rainfall Data'!$P$4:$V$4,'Input-Rainfall Data'!$P$6:$V$74))</f>
        <v>34.1</v>
      </c>
      <c r="C60" s="5">
        <f>'Drainage calculator'!F$32</f>
        <v>1</v>
      </c>
      <c r="D60" s="5">
        <f>'Drainage calculator'!F$33</f>
        <v>0.9</v>
      </c>
      <c r="E60" s="16">
        <f>'Drainage calculator'!F$34</f>
        <v>0.24339</v>
      </c>
      <c r="F60" s="17">
        <f t="shared" si="0"/>
        <v>200</v>
      </c>
      <c r="G60" s="17">
        <f>'Drainage calculator'!F$6</f>
        <v>150</v>
      </c>
      <c r="H60" s="17">
        <f>'Drainage calculator'!F$7</f>
        <v>50</v>
      </c>
      <c r="I60" s="17">
        <f>'Drainage calculator'!F$9</f>
        <v>150</v>
      </c>
      <c r="J60" s="5">
        <f t="shared" si="1"/>
        <v>2.1928999583333337</v>
      </c>
      <c r="K60" s="5">
        <f t="shared" si="2"/>
        <v>5.9208298875000009</v>
      </c>
      <c r="L60" s="5">
        <f t="shared" si="3"/>
        <v>2.2787388749999997</v>
      </c>
      <c r="M60" s="5">
        <f t="shared" si="4"/>
        <v>6.1525949624999994</v>
      </c>
      <c r="N60" s="5">
        <f t="shared" si="5"/>
        <v>-0.23176507499999843</v>
      </c>
    </row>
    <row r="61" spans="1:14" x14ac:dyDescent="0.25">
      <c r="A61" s="2">
        <f>'Input-Rainfall Data'!O60</f>
        <v>50</v>
      </c>
      <c r="B61" s="5" cm="1">
        <f t="array" ref="B61">_xlfn.XLOOKUP(A61,'Input-Rainfall Data'!$O$6:$O$74,_xlfn.XLOOKUP('OSD Mass-Curve'!$B$2,'Input-Rainfall Data'!$P$4:$V$4,'Input-Rainfall Data'!$P$6:$V$74))</f>
        <v>32.166666666666671</v>
      </c>
      <c r="C61" s="5">
        <f>'Drainage calculator'!F$32</f>
        <v>1</v>
      </c>
      <c r="D61" s="5">
        <f>'Drainage calculator'!F$33</f>
        <v>0.9</v>
      </c>
      <c r="E61" s="16">
        <f>'Drainage calculator'!F$34</f>
        <v>0.24339</v>
      </c>
      <c r="F61" s="17">
        <f t="shared" si="0"/>
        <v>200</v>
      </c>
      <c r="G61" s="17">
        <f>'Drainage calculator'!F$6</f>
        <v>150</v>
      </c>
      <c r="H61" s="17">
        <f>'Drainage calculator'!F$7</f>
        <v>50</v>
      </c>
      <c r="I61" s="17">
        <f>'Drainage calculator'!F$9</f>
        <v>150</v>
      </c>
      <c r="J61" s="5">
        <f t="shared" si="1"/>
        <v>2.0685713194444446</v>
      </c>
      <c r="K61" s="5">
        <f t="shared" si="2"/>
        <v>6.2057139583333338</v>
      </c>
      <c r="L61" s="5">
        <f t="shared" si="3"/>
        <v>2.2787388749999997</v>
      </c>
      <c r="M61" s="5">
        <f t="shared" si="4"/>
        <v>6.8362166249999987</v>
      </c>
      <c r="N61" s="5">
        <f t="shared" si="5"/>
        <v>-0.63050266666666488</v>
      </c>
    </row>
    <row r="62" spans="1:14" x14ac:dyDescent="0.25">
      <c r="A62" s="2">
        <f>'Input-Rainfall Data'!O61</f>
        <v>55</v>
      </c>
      <c r="B62" s="5" cm="1">
        <f t="array" ref="B62">_xlfn.XLOOKUP(A62,'Input-Rainfall Data'!$O$6:$O$74,_xlfn.XLOOKUP('OSD Mass-Curve'!$B$2,'Input-Rainfall Data'!$P$4:$V$4,'Input-Rainfall Data'!$P$6:$V$74))</f>
        <v>30.233333333333338</v>
      </c>
      <c r="C62" s="5">
        <f>'Drainage calculator'!F$32</f>
        <v>1</v>
      </c>
      <c r="D62" s="5">
        <f>'Drainage calculator'!F$33</f>
        <v>0.9</v>
      </c>
      <c r="E62" s="16">
        <f>'Drainage calculator'!F$34</f>
        <v>0.24339</v>
      </c>
      <c r="F62" s="17">
        <f t="shared" si="0"/>
        <v>200</v>
      </c>
      <c r="G62" s="17">
        <f>'Drainage calculator'!F$6</f>
        <v>150</v>
      </c>
      <c r="H62" s="17">
        <f>'Drainage calculator'!F$7</f>
        <v>50</v>
      </c>
      <c r="I62" s="17">
        <f>'Drainage calculator'!F$9</f>
        <v>150</v>
      </c>
      <c r="J62" s="5">
        <f t="shared" si="1"/>
        <v>1.9442426805555559</v>
      </c>
      <c r="K62" s="5">
        <f t="shared" si="2"/>
        <v>6.4160008458333344</v>
      </c>
      <c r="L62" s="5">
        <f t="shared" si="3"/>
        <v>2.2787388749999997</v>
      </c>
      <c r="M62" s="5">
        <f t="shared" si="4"/>
        <v>7.5198382874999989</v>
      </c>
      <c r="N62" s="5">
        <f t="shared" si="5"/>
        <v>-1.1038374416666645</v>
      </c>
    </row>
    <row r="63" spans="1:14" x14ac:dyDescent="0.25">
      <c r="A63" s="2">
        <f>'Input-Rainfall Data'!O62</f>
        <v>60</v>
      </c>
      <c r="B63" s="5" cm="1">
        <f t="array" ref="B63">_xlfn.XLOOKUP(A63,'Input-Rainfall Data'!$O$6:$O$74,_xlfn.XLOOKUP('OSD Mass-Curve'!$B$2,'Input-Rainfall Data'!$P$4:$V$4,'Input-Rainfall Data'!$P$6:$V$74))</f>
        <v>28.3</v>
      </c>
      <c r="C63" s="5">
        <f>'Drainage calculator'!F$32</f>
        <v>1</v>
      </c>
      <c r="D63" s="5">
        <f>'Drainage calculator'!F$33</f>
        <v>0.9</v>
      </c>
      <c r="E63" s="16">
        <f>'Drainage calculator'!F$34</f>
        <v>0.24339</v>
      </c>
      <c r="F63" s="17">
        <f t="shared" si="0"/>
        <v>200</v>
      </c>
      <c r="G63" s="17">
        <f>'Drainage calculator'!F$6</f>
        <v>150</v>
      </c>
      <c r="H63" s="17">
        <f>'Drainage calculator'!F$7</f>
        <v>50</v>
      </c>
      <c r="I63" s="17">
        <f>'Drainage calculator'!F$9</f>
        <v>150</v>
      </c>
      <c r="J63" s="5">
        <f t="shared" si="1"/>
        <v>1.8199140416666668</v>
      </c>
      <c r="K63" s="5">
        <f t="shared" si="2"/>
        <v>6.55169055</v>
      </c>
      <c r="L63" s="5">
        <f t="shared" si="3"/>
        <v>2.2787388749999997</v>
      </c>
      <c r="M63" s="5">
        <f t="shared" si="4"/>
        <v>8.2034599499999992</v>
      </c>
      <c r="N63" s="5">
        <f t="shared" si="5"/>
        <v>-1.6517693999999992</v>
      </c>
    </row>
    <row r="64" spans="1:14" x14ac:dyDescent="0.25">
      <c r="A64" s="2">
        <f>'Input-Rainfall Data'!O63</f>
        <v>65</v>
      </c>
      <c r="B64" s="5" cm="1">
        <f t="array" ref="B64">_xlfn.XLOOKUP(A64,'Input-Rainfall Data'!$O$6:$O$74,_xlfn.XLOOKUP('OSD Mass-Curve'!$B$2,'Input-Rainfall Data'!$P$4:$V$4,'Input-Rainfall Data'!$P$6:$V$74))</f>
        <v>27.35</v>
      </c>
      <c r="C64" s="5">
        <f>'Drainage calculator'!F$32</f>
        <v>1</v>
      </c>
      <c r="D64" s="5">
        <f>'Drainage calculator'!F$33</f>
        <v>0.9</v>
      </c>
      <c r="E64" s="16">
        <f>'Drainage calculator'!F$34</f>
        <v>0.24339</v>
      </c>
      <c r="F64" s="17">
        <f t="shared" si="0"/>
        <v>200</v>
      </c>
      <c r="G64" s="17">
        <f>'Drainage calculator'!F$6</f>
        <v>150</v>
      </c>
      <c r="H64" s="17">
        <f>'Drainage calculator'!F$7</f>
        <v>50</v>
      </c>
      <c r="I64" s="17">
        <f>'Drainage calculator'!F$9</f>
        <v>150</v>
      </c>
      <c r="J64" s="5">
        <f t="shared" si="1"/>
        <v>1.7588215208333333</v>
      </c>
      <c r="K64" s="5">
        <f t="shared" si="2"/>
        <v>6.8594039312500001</v>
      </c>
      <c r="L64" s="5">
        <f t="shared" si="3"/>
        <v>2.2787388749999997</v>
      </c>
      <c r="M64" s="5">
        <f t="shared" si="4"/>
        <v>8.8870816124999976</v>
      </c>
      <c r="N64" s="5">
        <f t="shared" si="5"/>
        <v>-2.0276776812499975</v>
      </c>
    </row>
    <row r="65" spans="1:14" x14ac:dyDescent="0.25">
      <c r="A65" s="2">
        <f>'Input-Rainfall Data'!O64</f>
        <v>70</v>
      </c>
      <c r="B65" s="5" cm="1">
        <f t="array" ref="B65">_xlfn.XLOOKUP(A65,'Input-Rainfall Data'!$O$6:$O$74,_xlfn.XLOOKUP('OSD Mass-Curve'!$B$2,'Input-Rainfall Data'!$P$4:$V$4,'Input-Rainfall Data'!$P$6:$V$74))</f>
        <v>26.400000000000002</v>
      </c>
      <c r="C65" s="5">
        <f>'Drainage calculator'!F$32</f>
        <v>1</v>
      </c>
      <c r="D65" s="5">
        <f>'Drainage calculator'!F$33</f>
        <v>0.9</v>
      </c>
      <c r="E65" s="16">
        <f>'Drainage calculator'!F$34</f>
        <v>0.24339</v>
      </c>
      <c r="F65" s="17">
        <f t="shared" si="0"/>
        <v>200</v>
      </c>
      <c r="G65" s="17">
        <f>'Drainage calculator'!F$6</f>
        <v>150</v>
      </c>
      <c r="H65" s="17">
        <f>'Drainage calculator'!F$7</f>
        <v>50</v>
      </c>
      <c r="I65" s="17">
        <f>'Drainage calculator'!F$9</f>
        <v>150</v>
      </c>
      <c r="J65" s="5">
        <f t="shared" si="1"/>
        <v>1.697729</v>
      </c>
      <c r="K65" s="5">
        <f t="shared" si="2"/>
        <v>7.1304618</v>
      </c>
      <c r="L65" s="5">
        <f t="shared" si="3"/>
        <v>2.2787388749999997</v>
      </c>
      <c r="M65" s="5">
        <f t="shared" si="4"/>
        <v>9.5707032749999996</v>
      </c>
      <c r="N65" s="5">
        <f t="shared" si="5"/>
        <v>-2.4402414749999997</v>
      </c>
    </row>
    <row r="66" spans="1:14" x14ac:dyDescent="0.25">
      <c r="A66" s="2">
        <f>'Input-Rainfall Data'!O65</f>
        <v>75</v>
      </c>
      <c r="B66" s="5" cm="1">
        <f t="array" ref="B66">_xlfn.XLOOKUP(A66,'Input-Rainfall Data'!$O$6:$O$74,_xlfn.XLOOKUP('OSD Mass-Curve'!$B$2,'Input-Rainfall Data'!$P$4:$V$4,'Input-Rainfall Data'!$P$6:$V$74))</f>
        <v>25.450000000000003</v>
      </c>
      <c r="C66" s="5">
        <f>'Drainage calculator'!F$32</f>
        <v>1</v>
      </c>
      <c r="D66" s="5">
        <f>'Drainage calculator'!F$33</f>
        <v>0.9</v>
      </c>
      <c r="E66" s="16">
        <f>'Drainage calculator'!F$34</f>
        <v>0.24339</v>
      </c>
      <c r="F66" s="17">
        <f t="shared" si="0"/>
        <v>200</v>
      </c>
      <c r="G66" s="17">
        <f>'Drainage calculator'!F$6</f>
        <v>150</v>
      </c>
      <c r="H66" s="17">
        <f>'Drainage calculator'!F$7</f>
        <v>50</v>
      </c>
      <c r="I66" s="17">
        <f>'Drainage calculator'!F$9</f>
        <v>150</v>
      </c>
      <c r="J66" s="5">
        <f t="shared" si="1"/>
        <v>1.6366364791666668</v>
      </c>
      <c r="K66" s="5">
        <f t="shared" si="2"/>
        <v>7.3648641562500003</v>
      </c>
      <c r="L66" s="5">
        <f t="shared" si="3"/>
        <v>2.2787388749999997</v>
      </c>
      <c r="M66" s="5">
        <f t="shared" si="4"/>
        <v>10.2543249375</v>
      </c>
      <c r="N66" s="5">
        <f t="shared" si="5"/>
        <v>-2.8894607812499995</v>
      </c>
    </row>
    <row r="67" spans="1:14" x14ac:dyDescent="0.25">
      <c r="A67" s="2">
        <f>'Input-Rainfall Data'!O66</f>
        <v>80</v>
      </c>
      <c r="B67" s="5" cm="1">
        <f t="array" ref="B67">_xlfn.XLOOKUP(A67,'Input-Rainfall Data'!$O$6:$O$74,_xlfn.XLOOKUP('OSD Mass-Curve'!$B$2,'Input-Rainfall Data'!$P$4:$V$4,'Input-Rainfall Data'!$P$6:$V$74))</f>
        <v>24.500000000000004</v>
      </c>
      <c r="C67" s="5">
        <f>'Drainage calculator'!F$32</f>
        <v>1</v>
      </c>
      <c r="D67" s="5">
        <f>'Drainage calculator'!F$33</f>
        <v>0.9</v>
      </c>
      <c r="E67" s="16">
        <f>'Drainage calculator'!F$34</f>
        <v>0.24339</v>
      </c>
      <c r="F67" s="17">
        <f t="shared" si="0"/>
        <v>200</v>
      </c>
      <c r="G67" s="17">
        <f>'Drainage calculator'!F$6</f>
        <v>150</v>
      </c>
      <c r="H67" s="17">
        <f>'Drainage calculator'!F$7</f>
        <v>50</v>
      </c>
      <c r="I67" s="17">
        <f>'Drainage calculator'!F$9</f>
        <v>150</v>
      </c>
      <c r="J67" s="5">
        <f t="shared" si="1"/>
        <v>1.5755439583333335</v>
      </c>
      <c r="K67" s="5">
        <f t="shared" si="2"/>
        <v>7.5626110000000004</v>
      </c>
      <c r="L67" s="5">
        <f t="shared" si="3"/>
        <v>2.2787388749999997</v>
      </c>
      <c r="M67" s="5">
        <f t="shared" si="4"/>
        <v>10.9379466</v>
      </c>
      <c r="N67" s="5">
        <f t="shared" si="5"/>
        <v>-3.3753355999999997</v>
      </c>
    </row>
    <row r="68" spans="1:14" x14ac:dyDescent="0.25">
      <c r="A68" s="2">
        <f>'Input-Rainfall Data'!O67</f>
        <v>85</v>
      </c>
      <c r="B68" s="5" cm="1">
        <f t="array" ref="B68">_xlfn.XLOOKUP(A68,'Input-Rainfall Data'!$O$6:$O$74,_xlfn.XLOOKUP('OSD Mass-Curve'!$B$2,'Input-Rainfall Data'!$P$4:$V$4,'Input-Rainfall Data'!$P$6:$V$74))</f>
        <v>23.550000000000004</v>
      </c>
      <c r="C68" s="5">
        <f>'Drainage calculator'!F$32</f>
        <v>1</v>
      </c>
      <c r="D68" s="5">
        <f>'Drainage calculator'!F$33</f>
        <v>0.9</v>
      </c>
      <c r="E68" s="16">
        <f>'Drainage calculator'!F$34</f>
        <v>0.24339</v>
      </c>
      <c r="F68" s="17">
        <f t="shared" si="0"/>
        <v>200</v>
      </c>
      <c r="G68" s="17">
        <f>'Drainage calculator'!F$6</f>
        <v>150</v>
      </c>
      <c r="H68" s="17">
        <f>'Drainage calculator'!F$7</f>
        <v>50</v>
      </c>
      <c r="I68" s="17">
        <f>'Drainage calculator'!F$9</f>
        <v>150</v>
      </c>
      <c r="J68" s="5">
        <f t="shared" si="1"/>
        <v>1.5144514375000002</v>
      </c>
      <c r="K68" s="5">
        <f t="shared" si="2"/>
        <v>7.7237023312500002</v>
      </c>
      <c r="L68" s="5">
        <f t="shared" si="3"/>
        <v>2.2787388749999997</v>
      </c>
      <c r="M68" s="5">
        <f t="shared" si="4"/>
        <v>11.621568262499999</v>
      </c>
      <c r="N68" s="5">
        <f t="shared" si="5"/>
        <v>-3.8978659312499984</v>
      </c>
    </row>
    <row r="69" spans="1:14" x14ac:dyDescent="0.25">
      <c r="A69" s="2">
        <f>'Input-Rainfall Data'!O68</f>
        <v>90</v>
      </c>
      <c r="B69" s="5" cm="1">
        <f t="array" ref="B69">_xlfn.XLOOKUP(A69,'Input-Rainfall Data'!$O$6:$O$74,_xlfn.XLOOKUP('OSD Mass-Curve'!$B$2,'Input-Rainfall Data'!$P$4:$V$4,'Input-Rainfall Data'!$P$6:$V$74))</f>
        <v>21.8</v>
      </c>
      <c r="C69" s="5">
        <f>'Drainage calculator'!F$32</f>
        <v>1</v>
      </c>
      <c r="D69" s="5">
        <f>'Drainage calculator'!F$33</f>
        <v>0.9</v>
      </c>
      <c r="E69" s="16">
        <f>'Drainage calculator'!F$34</f>
        <v>0.24339</v>
      </c>
      <c r="F69" s="17">
        <f t="shared" si="0"/>
        <v>200</v>
      </c>
      <c r="G69" s="17">
        <f>'Drainage calculator'!F$6</f>
        <v>150</v>
      </c>
      <c r="H69" s="17">
        <f>'Drainage calculator'!F$7</f>
        <v>50</v>
      </c>
      <c r="I69" s="17">
        <f>'Drainage calculator'!F$9</f>
        <v>150</v>
      </c>
      <c r="J69" s="5">
        <f t="shared" si="1"/>
        <v>1.4019125833333332</v>
      </c>
      <c r="K69" s="5">
        <f t="shared" si="2"/>
        <v>7.5703279499999994</v>
      </c>
      <c r="L69" s="5">
        <f t="shared" si="3"/>
        <v>2.2787388749999997</v>
      </c>
      <c r="M69" s="5">
        <f t="shared" si="4"/>
        <v>12.305189924999999</v>
      </c>
      <c r="N69" s="5">
        <f t="shared" si="5"/>
        <v>-4.7348619749999994</v>
      </c>
    </row>
    <row r="70" spans="1:14" x14ac:dyDescent="0.25">
      <c r="A70" s="2">
        <f>'Input-Rainfall Data'!O69</f>
        <v>95</v>
      </c>
      <c r="B70" s="5" cm="1">
        <f t="array" ref="B70">_xlfn.XLOOKUP(A70,'Input-Rainfall Data'!$O$6:$O$74,_xlfn.XLOOKUP('OSD Mass-Curve'!$B$2,'Input-Rainfall Data'!$P$4:$V$4,'Input-Rainfall Data'!$P$6:$V$74))</f>
        <v>21.266666666666666</v>
      </c>
      <c r="C70" s="5">
        <f>'Drainage calculator'!F$32</f>
        <v>1</v>
      </c>
      <c r="D70" s="5">
        <f>'Drainage calculator'!F$33</f>
        <v>0.9</v>
      </c>
      <c r="E70" s="16">
        <f>'Drainage calculator'!F$34</f>
        <v>0.24339</v>
      </c>
      <c r="F70" s="17">
        <f t="shared" si="0"/>
        <v>200</v>
      </c>
      <c r="G70" s="17">
        <f>'Drainage calculator'!F$6</f>
        <v>150</v>
      </c>
      <c r="H70" s="17">
        <f>'Drainage calculator'!F$7</f>
        <v>50</v>
      </c>
      <c r="I70" s="17">
        <f>'Drainage calculator'!F$9</f>
        <v>150</v>
      </c>
      <c r="J70" s="5">
        <f t="shared" si="1"/>
        <v>1.3676150277777777</v>
      </c>
      <c r="K70" s="5">
        <f t="shared" si="2"/>
        <v>7.7954056583333333</v>
      </c>
      <c r="L70" s="5">
        <f t="shared" si="3"/>
        <v>2.2787388749999997</v>
      </c>
      <c r="M70" s="5">
        <f t="shared" si="4"/>
        <v>12.988811587499999</v>
      </c>
      <c r="N70" s="5">
        <f t="shared" si="5"/>
        <v>-5.1934059291666657</v>
      </c>
    </row>
    <row r="71" spans="1:14" x14ac:dyDescent="0.25">
      <c r="A71" s="2">
        <f>'Input-Rainfall Data'!O70</f>
        <v>100</v>
      </c>
      <c r="B71" s="5" cm="1">
        <f t="array" ref="B71">_xlfn.XLOOKUP(A71,'Input-Rainfall Data'!$O$6:$O$74,_xlfn.XLOOKUP('OSD Mass-Curve'!$B$2,'Input-Rainfall Data'!$P$4:$V$4,'Input-Rainfall Data'!$P$6:$V$74))</f>
        <v>20.733333333333331</v>
      </c>
      <c r="C71" s="5">
        <f>'Drainage calculator'!F$32</f>
        <v>1</v>
      </c>
      <c r="D71" s="5">
        <f>'Drainage calculator'!F$33</f>
        <v>0.9</v>
      </c>
      <c r="E71" s="16">
        <f>'Drainage calculator'!F$34</f>
        <v>0.24339</v>
      </c>
      <c r="F71" s="17">
        <f t="shared" si="0"/>
        <v>200</v>
      </c>
      <c r="G71" s="17">
        <f>'Drainage calculator'!F$6</f>
        <v>150</v>
      </c>
      <c r="H71" s="17">
        <f>'Drainage calculator'!F$7</f>
        <v>50</v>
      </c>
      <c r="I71" s="17">
        <f>'Drainage calculator'!F$9</f>
        <v>150</v>
      </c>
      <c r="J71" s="5">
        <f t="shared" si="1"/>
        <v>1.3333174722222221</v>
      </c>
      <c r="K71" s="5">
        <f t="shared" si="2"/>
        <v>7.9999048333333329</v>
      </c>
      <c r="L71" s="5">
        <f t="shared" si="3"/>
        <v>2.2787388749999997</v>
      </c>
      <c r="M71" s="5">
        <f t="shared" si="4"/>
        <v>13.672433249999997</v>
      </c>
      <c r="N71" s="5">
        <f t="shared" si="5"/>
        <v>-5.6725284166666645</v>
      </c>
    </row>
    <row r="72" spans="1:14" x14ac:dyDescent="0.25">
      <c r="A72" s="2">
        <f>'Input-Rainfall Data'!O71</f>
        <v>105</v>
      </c>
      <c r="B72" s="5" cm="1">
        <f t="array" ref="B72">_xlfn.XLOOKUP(A72,'Input-Rainfall Data'!$O$6:$O$74,_xlfn.XLOOKUP('OSD Mass-Curve'!$B$2,'Input-Rainfall Data'!$P$4:$V$4,'Input-Rainfall Data'!$P$6:$V$74))</f>
        <v>20.199999999999996</v>
      </c>
      <c r="C72" s="5">
        <f>'Drainage calculator'!F$32</f>
        <v>1</v>
      </c>
      <c r="D72" s="5">
        <f>'Drainage calculator'!F$33</f>
        <v>0.9</v>
      </c>
      <c r="E72" s="16">
        <f>'Drainage calculator'!F$34</f>
        <v>0.24339</v>
      </c>
      <c r="F72" s="17">
        <f t="shared" ref="F72:F75" si="6">G72+H72</f>
        <v>200</v>
      </c>
      <c r="G72" s="17">
        <f>'Drainage calculator'!F$6</f>
        <v>150</v>
      </c>
      <c r="H72" s="17">
        <f>'Drainage calculator'!F$7</f>
        <v>50</v>
      </c>
      <c r="I72" s="17">
        <f>'Drainage calculator'!F$9</f>
        <v>150</v>
      </c>
      <c r="J72" s="5">
        <f t="shared" ref="J72:J75" si="7">((G72*C72)+(H72*D72)+(I72*E72))*B72/3600</f>
        <v>1.2990199166666665</v>
      </c>
      <c r="K72" s="5">
        <f t="shared" ref="K72:K75" si="8">A72*J72*60/1000</f>
        <v>8.183825474999999</v>
      </c>
      <c r="L72" s="5">
        <f t="shared" ref="L72:L75" si="9">B$4</f>
        <v>2.2787388749999997</v>
      </c>
      <c r="M72" s="5">
        <f t="shared" ref="M72:M75" si="10">A72*L72*60/1000</f>
        <v>14.356054912499998</v>
      </c>
      <c r="N72" s="5">
        <f t="shared" ref="N72:N75" si="11">K72-M72</f>
        <v>-6.1722294374999986</v>
      </c>
    </row>
    <row r="73" spans="1:14" x14ac:dyDescent="0.25">
      <c r="A73" s="2">
        <f>'Input-Rainfall Data'!O72</f>
        <v>110</v>
      </c>
      <c r="B73" s="5" cm="1">
        <f t="array" ref="B73">_xlfn.XLOOKUP(A73,'Input-Rainfall Data'!$O$6:$O$74,_xlfn.XLOOKUP('OSD Mass-Curve'!$B$2,'Input-Rainfall Data'!$P$4:$V$4,'Input-Rainfall Data'!$P$6:$V$74))</f>
        <v>19.666666666666661</v>
      </c>
      <c r="C73" s="5">
        <f>'Drainage calculator'!F$32</f>
        <v>1</v>
      </c>
      <c r="D73" s="5">
        <f>'Drainage calculator'!F$33</f>
        <v>0.9</v>
      </c>
      <c r="E73" s="16">
        <f>'Drainage calculator'!F$34</f>
        <v>0.24339</v>
      </c>
      <c r="F73" s="17">
        <f t="shared" si="6"/>
        <v>200</v>
      </c>
      <c r="G73" s="17">
        <f>'Drainage calculator'!F$6</f>
        <v>150</v>
      </c>
      <c r="H73" s="17">
        <f>'Drainage calculator'!F$7</f>
        <v>50</v>
      </c>
      <c r="I73" s="17">
        <f>'Drainage calculator'!F$9</f>
        <v>150</v>
      </c>
      <c r="J73" s="5">
        <f t="shared" si="7"/>
        <v>1.2647223611111107</v>
      </c>
      <c r="K73" s="5">
        <f t="shared" si="8"/>
        <v>8.3471675833333325</v>
      </c>
      <c r="L73" s="5">
        <f t="shared" si="9"/>
        <v>2.2787388749999997</v>
      </c>
      <c r="M73" s="5">
        <f t="shared" si="10"/>
        <v>15.039676574999998</v>
      </c>
      <c r="N73" s="5">
        <f t="shared" si="11"/>
        <v>-6.6925089916666654</v>
      </c>
    </row>
    <row r="74" spans="1:14" x14ac:dyDescent="0.25">
      <c r="A74" s="2">
        <f>'Input-Rainfall Data'!O73</f>
        <v>115</v>
      </c>
      <c r="B74" s="5" cm="1">
        <f t="array" ref="B74">_xlfn.XLOOKUP(A74,'Input-Rainfall Data'!$O$6:$O$74,_xlfn.XLOOKUP('OSD Mass-Curve'!$B$2,'Input-Rainfall Data'!$P$4:$V$4,'Input-Rainfall Data'!$P$6:$V$74))</f>
        <v>19.133333333333326</v>
      </c>
      <c r="C74" s="5">
        <f>'Drainage calculator'!F$32</f>
        <v>1</v>
      </c>
      <c r="D74" s="5">
        <f>'Drainage calculator'!F$33</f>
        <v>0.9</v>
      </c>
      <c r="E74" s="16">
        <f>'Drainage calculator'!F$34</f>
        <v>0.24339</v>
      </c>
      <c r="F74" s="17">
        <f t="shared" si="6"/>
        <v>200</v>
      </c>
      <c r="G74" s="17">
        <f>'Drainage calculator'!F$6</f>
        <v>150</v>
      </c>
      <c r="H74" s="17">
        <f>'Drainage calculator'!F$7</f>
        <v>50</v>
      </c>
      <c r="I74" s="17">
        <f>'Drainage calculator'!F$9</f>
        <v>150</v>
      </c>
      <c r="J74" s="5">
        <f t="shared" si="7"/>
        <v>1.2304248055555551</v>
      </c>
      <c r="K74" s="5">
        <f t="shared" si="8"/>
        <v>8.4899311583333308</v>
      </c>
      <c r="L74" s="5">
        <f t="shared" si="9"/>
        <v>2.2787388749999997</v>
      </c>
      <c r="M74" s="5">
        <f t="shared" si="10"/>
        <v>15.723298237499998</v>
      </c>
      <c r="N74" s="5">
        <f t="shared" si="11"/>
        <v>-7.2333670791666673</v>
      </c>
    </row>
    <row r="75" spans="1:14" x14ac:dyDescent="0.25">
      <c r="A75" s="2">
        <f>'Input-Rainfall Data'!O74</f>
        <v>120</v>
      </c>
      <c r="B75" s="5" cm="1">
        <f t="array" ref="B75">_xlfn.XLOOKUP(A75,'Input-Rainfall Data'!$O$6:$O$74,_xlfn.XLOOKUP('OSD Mass-Curve'!$B$2,'Input-Rainfall Data'!$P$4:$V$4,'Input-Rainfall Data'!$P$6:$V$74))</f>
        <v>18.100000000000001</v>
      </c>
      <c r="C75" s="5">
        <f>'Drainage calculator'!F$32</f>
        <v>1</v>
      </c>
      <c r="D75" s="5">
        <f>'Drainage calculator'!F$33</f>
        <v>0.9</v>
      </c>
      <c r="E75" s="16">
        <f>'Drainage calculator'!F$34</f>
        <v>0.24339</v>
      </c>
      <c r="F75" s="17">
        <f t="shared" si="6"/>
        <v>200</v>
      </c>
      <c r="G75" s="17">
        <f>'Drainage calculator'!F$6</f>
        <v>150</v>
      </c>
      <c r="H75" s="17">
        <f>'Drainage calculator'!F$7</f>
        <v>50</v>
      </c>
      <c r="I75" s="17">
        <f>'Drainage calculator'!F$9</f>
        <v>150</v>
      </c>
      <c r="J75" s="5">
        <f t="shared" si="7"/>
        <v>1.1639732916666667</v>
      </c>
      <c r="K75" s="5">
        <f t="shared" si="8"/>
        <v>8.3806077000000005</v>
      </c>
      <c r="L75" s="5">
        <f t="shared" si="9"/>
        <v>2.2787388749999997</v>
      </c>
      <c r="M75" s="5">
        <f t="shared" si="10"/>
        <v>16.406919899999998</v>
      </c>
      <c r="N75" s="5">
        <f t="shared" si="11"/>
        <v>-8.0263121999999978</v>
      </c>
    </row>
  </sheetData>
  <sheetProtection algorithmName="SHA-512" hashValue="zIREBF8X7/wniV+FNjif3j/4TD6JATXdQtSp/YKwNBBNIDEPgHr9+J46jdfxZDbFy/MbZuZGQ/XiHCjXqcqQcA==" saltValue="vlTMwBvH6OwqflVXQplSbw==" spinCount="100000" sheet="1" objects="1" scenarios="1" selectLockedCells="1" selectUn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1137D-E947-4210-B325-8942648E020A}">
  <dimension ref="A1:M118"/>
  <sheetViews>
    <sheetView topLeftCell="A54" zoomScale="90" zoomScaleNormal="90" workbookViewId="0">
      <selection activeCell="L98" sqref="A1:XFD1048576"/>
    </sheetView>
  </sheetViews>
  <sheetFormatPr defaultColWidth="9.140625" defaultRowHeight="15" x14ac:dyDescent="0.25"/>
  <cols>
    <col min="1" max="1" width="9.140625" style="105"/>
    <col min="2" max="2" width="9.7109375" style="105" customWidth="1"/>
    <col min="3" max="3" width="12.42578125" style="105" bestFit="1" customWidth="1"/>
    <col min="4" max="4" width="14.140625" style="105" bestFit="1" customWidth="1"/>
    <col min="5" max="5" width="14.7109375" style="105" bestFit="1" customWidth="1"/>
    <col min="6" max="6" width="16" style="105" bestFit="1" customWidth="1"/>
    <col min="7" max="7" width="18" style="105" bestFit="1" customWidth="1"/>
    <col min="8" max="8" width="19.42578125" style="105" customWidth="1"/>
    <col min="9" max="9" width="20.7109375" style="105" bestFit="1" customWidth="1"/>
    <col min="10" max="11" width="9.140625" style="105"/>
    <col min="12" max="13" width="19.42578125" style="105" customWidth="1"/>
    <col min="14" max="16384" width="9.140625" style="105"/>
  </cols>
  <sheetData>
    <row r="1" spans="1:13" ht="18.75" hidden="1" x14ac:dyDescent="0.25">
      <c r="A1" s="104"/>
      <c r="B1" s="366" t="s">
        <v>207</v>
      </c>
      <c r="C1" s="366"/>
      <c r="D1" s="366"/>
      <c r="E1" s="366"/>
      <c r="F1" s="366"/>
      <c r="G1" s="366"/>
      <c r="H1" s="366"/>
      <c r="I1" s="366"/>
      <c r="J1" s="104"/>
    </row>
    <row r="2" spans="1:13" ht="14.45" hidden="1" customHeight="1" x14ac:dyDescent="0.25">
      <c r="A2" s="104"/>
      <c r="B2" s="367" t="s">
        <v>103</v>
      </c>
      <c r="C2" s="367"/>
      <c r="D2" s="367"/>
      <c r="E2" s="367"/>
      <c r="F2" s="367"/>
      <c r="G2" s="367"/>
      <c r="H2" s="367"/>
      <c r="I2" s="367"/>
      <c r="J2" s="104"/>
    </row>
    <row r="3" spans="1:13" ht="30" hidden="1" x14ac:dyDescent="0.25">
      <c r="A3" s="104"/>
      <c r="B3" s="106" t="s">
        <v>117</v>
      </c>
      <c r="C3" s="107" t="s">
        <v>208</v>
      </c>
      <c r="D3" s="106" t="s">
        <v>40</v>
      </c>
      <c r="E3" s="106" t="s">
        <v>209</v>
      </c>
      <c r="F3" s="106" t="s">
        <v>210</v>
      </c>
      <c r="G3" s="106" t="s">
        <v>42</v>
      </c>
      <c r="H3" s="108" t="s">
        <v>211</v>
      </c>
      <c r="I3" s="106" t="s">
        <v>212</v>
      </c>
      <c r="J3" s="104"/>
      <c r="M3" s="109"/>
    </row>
    <row r="4" spans="1:13" hidden="1" x14ac:dyDescent="0.25">
      <c r="A4" s="104">
        <v>1</v>
      </c>
      <c r="B4" s="110" t="s">
        <v>118</v>
      </c>
      <c r="C4" s="110">
        <f>'Input-Rainfall Data'!D11</f>
        <v>114</v>
      </c>
      <c r="D4" s="111">
        <f>(('Drainage calculator'!F$6*'Drainage calculator'!F$32)+('Drainage calculator'!F$7*'Drainage calculator'!F$33)+('Drainage calculator'!F$9*'Drainage calculator'!F$34))*C4/3600</f>
        <v>7.3311025000000001</v>
      </c>
      <c r="E4" s="110">
        <f>1*60</f>
        <v>60</v>
      </c>
      <c r="F4" s="112">
        <f t="shared" ref="F4:F32" si="0">D4*E4</f>
        <v>439.86615</v>
      </c>
      <c r="G4" s="113">
        <f t="shared" ref="G4:G32" si="1">F4/1000</f>
        <v>0.43986615000000001</v>
      </c>
      <c r="H4" s="114">
        <f>'Drainage calculator'!H$50*E4</f>
        <v>3.1808625617596657E-3</v>
      </c>
      <c r="I4" s="111">
        <f>G4-H4</f>
        <v>0.43668528743824037</v>
      </c>
      <c r="J4" s="104"/>
      <c r="M4" s="115"/>
    </row>
    <row r="5" spans="1:13" hidden="1" x14ac:dyDescent="0.25">
      <c r="A5" s="104">
        <v>2</v>
      </c>
      <c r="B5" s="110" t="s">
        <v>119</v>
      </c>
      <c r="C5" s="110">
        <f>'Input-Rainfall Data'!D12</f>
        <v>98.7</v>
      </c>
      <c r="D5" s="111">
        <f>(('Drainage calculator'!F$6*'Drainage calculator'!F$32)+('Drainage calculator'!F$7*'Drainage calculator'!F$33)+('Drainage calculator'!F$9*'Drainage calculator'!F$34))*C5/3600</f>
        <v>6.3471913750000004</v>
      </c>
      <c r="E5" s="110">
        <f>2*60</f>
        <v>120</v>
      </c>
      <c r="F5" s="112">
        <f t="shared" si="0"/>
        <v>761.6629650000001</v>
      </c>
      <c r="G5" s="113">
        <f t="shared" si="1"/>
        <v>0.76166296500000008</v>
      </c>
      <c r="H5" s="114">
        <f>'Drainage calculator'!H$50*E5</f>
        <v>6.3617251235193314E-3</v>
      </c>
      <c r="I5" s="111">
        <f t="shared" ref="I5:I32" si="2">G5-H5</f>
        <v>0.75530123987648079</v>
      </c>
      <c r="J5" s="104"/>
      <c r="M5" s="115"/>
    </row>
    <row r="6" spans="1:13" hidden="1" x14ac:dyDescent="0.25">
      <c r="A6" s="104">
        <v>3</v>
      </c>
      <c r="B6" s="110" t="s">
        <v>120</v>
      </c>
      <c r="C6" s="110">
        <f>'Input-Rainfall Data'!D13</f>
        <v>88.3</v>
      </c>
      <c r="D6" s="111">
        <f>(('Drainage calculator'!F$6*'Drainage calculator'!F$32)+('Drainage calculator'!F$7*'Drainage calculator'!F$33)+('Drainage calculator'!F$9*'Drainage calculator'!F$34))*C6/3600</f>
        <v>5.6783890416666658</v>
      </c>
      <c r="E6" s="110">
        <f>3*60</f>
        <v>180</v>
      </c>
      <c r="F6" s="112">
        <f t="shared" si="0"/>
        <v>1022.1100274999999</v>
      </c>
      <c r="G6" s="113">
        <f t="shared" si="1"/>
        <v>1.0221100274999999</v>
      </c>
      <c r="H6" s="114">
        <f>'Drainage calculator'!H$50*E6</f>
        <v>9.5425876852789967E-3</v>
      </c>
      <c r="I6" s="111">
        <f t="shared" si="2"/>
        <v>1.0125674398147209</v>
      </c>
      <c r="J6" s="104"/>
      <c r="M6" s="115"/>
    </row>
    <row r="7" spans="1:13" hidden="1" x14ac:dyDescent="0.25">
      <c r="A7" s="104">
        <v>4</v>
      </c>
      <c r="B7" s="110" t="s">
        <v>121</v>
      </c>
      <c r="C7" s="110">
        <f>'Input-Rainfall Data'!D14</f>
        <v>80.3</v>
      </c>
      <c r="D7" s="111">
        <f>(('Drainage calculator'!F$6*'Drainage calculator'!F$32)+('Drainage calculator'!F$7*'Drainage calculator'!F$33)+('Drainage calculator'!F$9*'Drainage calculator'!F$34))*C7/3600</f>
        <v>5.1639257083333332</v>
      </c>
      <c r="E7" s="110">
        <f>4*60</f>
        <v>240</v>
      </c>
      <c r="F7" s="112">
        <f t="shared" si="0"/>
        <v>1239.3421699999999</v>
      </c>
      <c r="G7" s="113">
        <f t="shared" si="1"/>
        <v>1.2393421699999998</v>
      </c>
      <c r="H7" s="114">
        <f>'Drainage calculator'!H$50*E7</f>
        <v>1.2723450247038663E-2</v>
      </c>
      <c r="I7" s="111">
        <f t="shared" si="2"/>
        <v>1.2266187197529612</v>
      </c>
      <c r="J7" s="104"/>
      <c r="M7" s="115"/>
    </row>
    <row r="8" spans="1:13" hidden="1" x14ac:dyDescent="0.25">
      <c r="A8" s="104">
        <v>5</v>
      </c>
      <c r="B8" s="110" t="s">
        <v>122</v>
      </c>
      <c r="C8" s="110">
        <f>'Input-Rainfall Data'!D15</f>
        <v>73.8</v>
      </c>
      <c r="D8" s="111">
        <f>(('Drainage calculator'!F$6*'Drainage calculator'!F$32)+('Drainage calculator'!F$7*'Drainage calculator'!F$33)+('Drainage calculator'!F$9*'Drainage calculator'!F$34))*C8/3600</f>
        <v>4.7459242499999998</v>
      </c>
      <c r="E8" s="110">
        <f>5*60</f>
        <v>300</v>
      </c>
      <c r="F8" s="112">
        <f t="shared" si="0"/>
        <v>1423.7772749999999</v>
      </c>
      <c r="G8" s="113">
        <f t="shared" si="1"/>
        <v>1.423777275</v>
      </c>
      <c r="H8" s="114">
        <f>'Drainage calculator'!H$50*E8</f>
        <v>1.5904312808798327E-2</v>
      </c>
      <c r="I8" s="111">
        <f t="shared" si="2"/>
        <v>1.4078729621912016</v>
      </c>
      <c r="J8" s="104"/>
      <c r="M8" s="115"/>
    </row>
    <row r="9" spans="1:13" hidden="1" x14ac:dyDescent="0.25">
      <c r="A9" s="104">
        <v>10</v>
      </c>
      <c r="B9" s="110" t="s">
        <v>123</v>
      </c>
      <c r="C9" s="110">
        <f>'Input-Rainfall Data'!D16</f>
        <v>53.9</v>
      </c>
      <c r="D9" s="111">
        <f>(('Drainage calculator'!F$6*'Drainage calculator'!F$32)+('Drainage calculator'!F$7*'Drainage calculator'!F$33)+('Drainage calculator'!F$9*'Drainage calculator'!F$34))*C9/3600</f>
        <v>3.4661967083333329</v>
      </c>
      <c r="E9" s="110">
        <f>10*60</f>
        <v>600</v>
      </c>
      <c r="F9" s="112">
        <f t="shared" si="0"/>
        <v>2079.7180249999997</v>
      </c>
      <c r="G9" s="113">
        <f t="shared" si="1"/>
        <v>2.0797180249999996</v>
      </c>
      <c r="H9" s="114">
        <f>'Drainage calculator'!H$50*E9</f>
        <v>3.1808625617596654E-2</v>
      </c>
      <c r="I9" s="111">
        <f t="shared" si="2"/>
        <v>2.0479093993824029</v>
      </c>
      <c r="J9" s="104"/>
      <c r="M9" s="115"/>
    </row>
    <row r="10" spans="1:13" hidden="1" x14ac:dyDescent="0.25">
      <c r="A10" s="104">
        <v>15</v>
      </c>
      <c r="B10" s="110" t="s">
        <v>124</v>
      </c>
      <c r="C10" s="110">
        <f>'Input-Rainfall Data'!D17</f>
        <v>43.5</v>
      </c>
      <c r="D10" s="111">
        <f>(('Drainage calculator'!F$6*'Drainage calculator'!F$32)+('Drainage calculator'!F$7*'Drainage calculator'!F$33)+('Drainage calculator'!F$9*'Drainage calculator'!F$34))*C10/3600</f>
        <v>2.7973943750000001</v>
      </c>
      <c r="E10" s="110">
        <f>15*60</f>
        <v>900</v>
      </c>
      <c r="F10" s="112">
        <f t="shared" si="0"/>
        <v>2517.6549375</v>
      </c>
      <c r="G10" s="113">
        <f t="shared" si="1"/>
        <v>2.5176549375000001</v>
      </c>
      <c r="H10" s="114">
        <f>'Drainage calculator'!H$50*E10</f>
        <v>4.7712938426394985E-2</v>
      </c>
      <c r="I10" s="111">
        <f t="shared" si="2"/>
        <v>2.4699419990736051</v>
      </c>
      <c r="J10" s="104"/>
      <c r="M10" s="115"/>
    </row>
    <row r="11" spans="1:13" hidden="1" x14ac:dyDescent="0.25">
      <c r="A11" s="104">
        <v>20</v>
      </c>
      <c r="B11" s="110" t="s">
        <v>125</v>
      </c>
      <c r="C11" s="110">
        <f>'Input-Rainfall Data'!D18</f>
        <v>36.9</v>
      </c>
      <c r="D11" s="111">
        <f>(('Drainage calculator'!F$6*'Drainage calculator'!F$32)+('Drainage calculator'!F$7*'Drainage calculator'!F$33)+('Drainage calculator'!F$9*'Drainage calculator'!F$34))*C11/3600</f>
        <v>2.3729621249999999</v>
      </c>
      <c r="E11" s="110">
        <f>20*60</f>
        <v>1200</v>
      </c>
      <c r="F11" s="112">
        <f t="shared" si="0"/>
        <v>2847.5545499999998</v>
      </c>
      <c r="G11" s="113">
        <f t="shared" si="1"/>
        <v>2.8475545499999999</v>
      </c>
      <c r="H11" s="114">
        <f>'Drainage calculator'!H$50*E11</f>
        <v>6.3617251235193309E-2</v>
      </c>
      <c r="I11" s="111">
        <f t="shared" si="2"/>
        <v>2.7839372987648066</v>
      </c>
      <c r="J11" s="104"/>
      <c r="M11" s="115"/>
    </row>
    <row r="12" spans="1:13" hidden="1" x14ac:dyDescent="0.25">
      <c r="A12" s="104">
        <v>25</v>
      </c>
      <c r="B12" s="110" t="s">
        <v>126</v>
      </c>
      <c r="C12" s="110">
        <f>'Input-Rainfall Data'!D19</f>
        <v>32.299999999999997</v>
      </c>
      <c r="D12" s="111">
        <f>(('Drainage calculator'!F$6*'Drainage calculator'!F$32)+('Drainage calculator'!F$7*'Drainage calculator'!F$33)+('Drainage calculator'!F$9*'Drainage calculator'!F$34))*C12/3600</f>
        <v>2.0771457083333331</v>
      </c>
      <c r="E12" s="110">
        <f>25*60</f>
        <v>1500</v>
      </c>
      <c r="F12" s="112">
        <f t="shared" si="0"/>
        <v>3115.7185624999997</v>
      </c>
      <c r="G12" s="113">
        <f t="shared" si="1"/>
        <v>3.1157185624999997</v>
      </c>
      <c r="H12" s="114">
        <f>'Drainage calculator'!H$50*E12</f>
        <v>7.9521564043991647E-2</v>
      </c>
      <c r="I12" s="111">
        <f t="shared" si="2"/>
        <v>3.036196998456008</v>
      </c>
      <c r="J12" s="104"/>
      <c r="M12" s="115"/>
    </row>
    <row r="13" spans="1:13" hidden="1" x14ac:dyDescent="0.25">
      <c r="A13" s="104">
        <v>30</v>
      </c>
      <c r="B13" s="110" t="s">
        <v>127</v>
      </c>
      <c r="C13" s="110">
        <f>'Input-Rainfall Data'!D20</f>
        <v>28.9</v>
      </c>
      <c r="D13" s="111">
        <f>(('Drainage calculator'!F$6*'Drainage calculator'!F$32)+('Drainage calculator'!F$7*'Drainage calculator'!F$33)+('Drainage calculator'!F$9*'Drainage calculator'!F$34))*C13/3600</f>
        <v>1.8584987916666664</v>
      </c>
      <c r="E13" s="110">
        <f>30*60</f>
        <v>1800</v>
      </c>
      <c r="F13" s="112">
        <f t="shared" si="0"/>
        <v>3345.2978249999996</v>
      </c>
      <c r="G13" s="113">
        <f t="shared" si="1"/>
        <v>3.3452978249999998</v>
      </c>
      <c r="H13" s="114">
        <f>'Drainage calculator'!H$50*E13</f>
        <v>9.542587685278997E-2</v>
      </c>
      <c r="I13" s="111">
        <f t="shared" si="2"/>
        <v>3.2498719481472098</v>
      </c>
      <c r="J13" s="104"/>
      <c r="M13" s="115"/>
    </row>
    <row r="14" spans="1:13" hidden="1" x14ac:dyDescent="0.25">
      <c r="A14" s="104">
        <v>45</v>
      </c>
      <c r="B14" s="110" t="s">
        <v>128</v>
      </c>
      <c r="C14" s="110">
        <f>'Input-Rainfall Data'!D21</f>
        <v>22.5</v>
      </c>
      <c r="D14" s="111">
        <f>(('Drainage calculator'!F$6*'Drainage calculator'!F$32)+('Drainage calculator'!F$7*'Drainage calculator'!F$33)+('Drainage calculator'!F$9*'Drainage calculator'!F$34))*C14/3600</f>
        <v>1.4469281249999999</v>
      </c>
      <c r="E14" s="110">
        <f>45*60</f>
        <v>2700</v>
      </c>
      <c r="F14" s="112">
        <f t="shared" si="0"/>
        <v>3906.7059374999999</v>
      </c>
      <c r="G14" s="113">
        <f t="shared" si="1"/>
        <v>3.9067059374999999</v>
      </c>
      <c r="H14" s="114">
        <f>'Drainage calculator'!H$50*E14</f>
        <v>0.14313881527918496</v>
      </c>
      <c r="I14" s="111">
        <f t="shared" si="2"/>
        <v>3.7635671222208149</v>
      </c>
      <c r="J14" s="104"/>
      <c r="M14" s="115"/>
    </row>
    <row r="15" spans="1:13" hidden="1" x14ac:dyDescent="0.25">
      <c r="A15" s="104">
        <v>60</v>
      </c>
      <c r="B15" s="110" t="s">
        <v>129</v>
      </c>
      <c r="C15" s="110">
        <f>'Input-Rainfall Data'!D22</f>
        <v>18.7</v>
      </c>
      <c r="D15" s="111">
        <f>(('Drainage calculator'!F$6*'Drainage calculator'!F$32)+('Drainage calculator'!F$7*'Drainage calculator'!F$33)+('Drainage calculator'!F$9*'Drainage calculator'!F$34))*C15/3600</f>
        <v>1.2025580416666668</v>
      </c>
      <c r="E15" s="110">
        <f>60*60</f>
        <v>3600</v>
      </c>
      <c r="F15" s="112">
        <f t="shared" si="0"/>
        <v>4329.2089500000002</v>
      </c>
      <c r="G15" s="113">
        <f t="shared" si="1"/>
        <v>4.3292089499999999</v>
      </c>
      <c r="H15" s="114">
        <f>'Drainage calculator'!H$50*E15</f>
        <v>0.19085175370557994</v>
      </c>
      <c r="I15" s="111">
        <f t="shared" si="2"/>
        <v>4.1383571962944199</v>
      </c>
      <c r="J15" s="104"/>
      <c r="K15" s="116"/>
      <c r="M15" s="115"/>
    </row>
    <row r="16" spans="1:13" hidden="1" x14ac:dyDescent="0.25">
      <c r="A16" s="104">
        <v>90</v>
      </c>
      <c r="B16" s="110" t="s">
        <v>130</v>
      </c>
      <c r="C16" s="110">
        <f>'Input-Rainfall Data'!D23</f>
        <v>14.4</v>
      </c>
      <c r="D16" s="111">
        <f>(('Drainage calculator'!F$6*'Drainage calculator'!F$32)+('Drainage calculator'!F$7*'Drainage calculator'!F$33)+('Drainage calculator'!F$9*'Drainage calculator'!F$34))*C16/3600</f>
        <v>0.92603400000000002</v>
      </c>
      <c r="E16" s="110">
        <f>1.5*3600</f>
        <v>5400</v>
      </c>
      <c r="F16" s="112">
        <f t="shared" si="0"/>
        <v>5000.5835999999999</v>
      </c>
      <c r="G16" s="113">
        <f t="shared" si="1"/>
        <v>5.0005835999999997</v>
      </c>
      <c r="H16" s="114">
        <f>'Drainage calculator'!H$50*E16</f>
        <v>0.28627763055836991</v>
      </c>
      <c r="I16" s="111">
        <f t="shared" si="2"/>
        <v>4.7143059694416296</v>
      </c>
      <c r="J16" s="104"/>
      <c r="M16" s="115"/>
    </row>
    <row r="17" spans="1:13" hidden="1" x14ac:dyDescent="0.25">
      <c r="A17" s="104">
        <v>120</v>
      </c>
      <c r="B17" s="110" t="s">
        <v>131</v>
      </c>
      <c r="C17" s="110">
        <f>'Input-Rainfall Data'!D24</f>
        <v>11.9</v>
      </c>
      <c r="D17" s="111">
        <f>(('Drainage calculator'!F$6*'Drainage calculator'!F$32)+('Drainage calculator'!F$7*'Drainage calculator'!F$33)+('Drainage calculator'!F$9*'Drainage calculator'!F$34))*C17/3600</f>
        <v>0.76526420833333331</v>
      </c>
      <c r="E17" s="110">
        <f>2*3600</f>
        <v>7200</v>
      </c>
      <c r="F17" s="112">
        <f t="shared" si="0"/>
        <v>5509.9022999999997</v>
      </c>
      <c r="G17" s="113">
        <f t="shared" si="1"/>
        <v>5.5099022999999994</v>
      </c>
      <c r="H17" s="114">
        <f>'Drainage calculator'!H$50*E17</f>
        <v>0.38170350741115988</v>
      </c>
      <c r="I17" s="111">
        <f t="shared" si="2"/>
        <v>5.1281987925888393</v>
      </c>
      <c r="J17" s="104"/>
      <c r="M17" s="115"/>
    </row>
    <row r="18" spans="1:13" hidden="1" x14ac:dyDescent="0.25">
      <c r="A18" s="104">
        <v>180</v>
      </c>
      <c r="B18" s="110" t="s">
        <v>132</v>
      </c>
      <c r="C18" s="110">
        <f>'Input-Rainfall Data'!D25</f>
        <v>9.16</v>
      </c>
      <c r="D18" s="111">
        <f>(('Drainage calculator'!F$6*'Drainage calculator'!F$32)+('Drainage calculator'!F$7*'Drainage calculator'!F$33)+('Drainage calculator'!F$9*'Drainage calculator'!F$34))*C18/3600</f>
        <v>0.58906051666666659</v>
      </c>
      <c r="E18" s="110">
        <f>3*3600</f>
        <v>10800</v>
      </c>
      <c r="F18" s="112">
        <f t="shared" si="0"/>
        <v>6361.8535799999991</v>
      </c>
      <c r="G18" s="113">
        <f t="shared" si="1"/>
        <v>6.3618535799999991</v>
      </c>
      <c r="H18" s="114">
        <f>'Drainage calculator'!H$50*E18</f>
        <v>0.57255526111673982</v>
      </c>
      <c r="I18" s="111">
        <f t="shared" si="2"/>
        <v>5.789298318883259</v>
      </c>
      <c r="J18" s="104"/>
      <c r="M18" s="115"/>
    </row>
    <row r="19" spans="1:13" hidden="1" x14ac:dyDescent="0.25">
      <c r="A19" s="104">
        <v>270</v>
      </c>
      <c r="B19" s="110" t="s">
        <v>133</v>
      </c>
      <c r="C19" s="110">
        <f>'Input-Rainfall Data'!D26</f>
        <v>7.04</v>
      </c>
      <c r="D19" s="111">
        <f>(('Drainage calculator'!F$6*'Drainage calculator'!F$32)+('Drainage calculator'!F$7*'Drainage calculator'!F$33)+('Drainage calculator'!F$9*'Drainage calculator'!F$34))*C19/3600</f>
        <v>0.45272773333333333</v>
      </c>
      <c r="E19" s="110">
        <f>4.5*3600</f>
        <v>16200</v>
      </c>
      <c r="F19" s="112">
        <f t="shared" si="0"/>
        <v>7334.1892799999996</v>
      </c>
      <c r="G19" s="113">
        <f t="shared" si="1"/>
        <v>7.3341892799999995</v>
      </c>
      <c r="H19" s="114">
        <f>'Drainage calculator'!H$50*E19</f>
        <v>0.85883289167510979</v>
      </c>
      <c r="I19" s="111">
        <f t="shared" si="2"/>
        <v>6.4753563883248901</v>
      </c>
      <c r="J19" s="104"/>
      <c r="M19" s="115"/>
    </row>
    <row r="20" spans="1:13" hidden="1" x14ac:dyDescent="0.25">
      <c r="A20" s="104">
        <v>360</v>
      </c>
      <c r="B20" s="110" t="s">
        <v>134</v>
      </c>
      <c r="C20" s="110">
        <f>'Input-Rainfall Data'!D27</f>
        <v>5.84</v>
      </c>
      <c r="D20" s="111">
        <f>(('Drainage calculator'!F$6*'Drainage calculator'!F$32)+('Drainage calculator'!F$7*'Drainage calculator'!F$33)+('Drainage calculator'!F$9*'Drainage calculator'!F$34))*C20/3600</f>
        <v>0.37555823333333332</v>
      </c>
      <c r="E20" s="110">
        <f>6*3600</f>
        <v>21600</v>
      </c>
      <c r="F20" s="112">
        <f t="shared" si="0"/>
        <v>8112.0578399999995</v>
      </c>
      <c r="G20" s="113">
        <f t="shared" si="1"/>
        <v>8.1120578400000003</v>
      </c>
      <c r="H20" s="114">
        <f>'Drainage calculator'!H$50*E20</f>
        <v>1.1451105222334796</v>
      </c>
      <c r="I20" s="111">
        <f t="shared" si="2"/>
        <v>6.9669473177665209</v>
      </c>
      <c r="J20" s="104"/>
      <c r="M20" s="115"/>
    </row>
    <row r="21" spans="1:13" hidden="1" x14ac:dyDescent="0.25">
      <c r="A21" s="104">
        <v>540</v>
      </c>
      <c r="B21" s="110" t="s">
        <v>135</v>
      </c>
      <c r="C21" s="110">
        <f>'Input-Rainfall Data'!D28</f>
        <v>4.49</v>
      </c>
      <c r="D21" s="111">
        <f>(('Drainage calculator'!F$6*'Drainage calculator'!F$32)+('Drainage calculator'!F$7*'Drainage calculator'!F$33)+('Drainage calculator'!F$9*'Drainage calculator'!F$34))*C21/3600</f>
        <v>0.28874254583333336</v>
      </c>
      <c r="E21" s="110">
        <f>9*3600</f>
        <v>32400</v>
      </c>
      <c r="F21" s="112">
        <f t="shared" si="0"/>
        <v>9355.2584850000003</v>
      </c>
      <c r="G21" s="113">
        <f t="shared" si="1"/>
        <v>9.3552584850000002</v>
      </c>
      <c r="H21" s="114">
        <f>'Drainage calculator'!H$50*E21</f>
        <v>1.7176657833502196</v>
      </c>
      <c r="I21" s="111">
        <f t="shared" si="2"/>
        <v>7.6375927016497807</v>
      </c>
      <c r="J21" s="104"/>
      <c r="M21" s="115"/>
    </row>
    <row r="22" spans="1:13" hidden="1" x14ac:dyDescent="0.25">
      <c r="A22" s="104">
        <v>720</v>
      </c>
      <c r="B22" s="110" t="s">
        <v>136</v>
      </c>
      <c r="C22" s="110">
        <f>'Input-Rainfall Data'!D29</f>
        <v>3.72</v>
      </c>
      <c r="D22" s="111">
        <f>(('Drainage calculator'!F$6*'Drainage calculator'!F$32)+('Drainage calculator'!F$7*'Drainage calculator'!F$33)+('Drainage calculator'!F$9*'Drainage calculator'!F$34))*C22/3600</f>
        <v>0.23922545000000001</v>
      </c>
      <c r="E22" s="110">
        <f>12*3600</f>
        <v>43200</v>
      </c>
      <c r="F22" s="112">
        <f t="shared" si="0"/>
        <v>10334.53944</v>
      </c>
      <c r="G22" s="113">
        <f t="shared" si="1"/>
        <v>10.33453944</v>
      </c>
      <c r="H22" s="114">
        <f>'Drainage calculator'!H$50*E22</f>
        <v>2.2902210444669593</v>
      </c>
      <c r="I22" s="111">
        <f t="shared" si="2"/>
        <v>8.0443183955330415</v>
      </c>
      <c r="J22" s="104"/>
      <c r="M22" s="115"/>
    </row>
    <row r="23" spans="1:13" hidden="1" x14ac:dyDescent="0.25">
      <c r="A23" s="104">
        <v>1080</v>
      </c>
      <c r="B23" s="110" t="s">
        <v>137</v>
      </c>
      <c r="C23" s="110">
        <f>'Input-Rainfall Data'!D30</f>
        <v>2.85</v>
      </c>
      <c r="D23" s="111">
        <f>(('Drainage calculator'!F$6*'Drainage calculator'!F$32)+('Drainage calculator'!F$7*'Drainage calculator'!F$33)+('Drainage calculator'!F$9*'Drainage calculator'!F$34))*C23/3600</f>
        <v>0.18327756249999999</v>
      </c>
      <c r="E23" s="110">
        <f>18*3600</f>
        <v>64800</v>
      </c>
      <c r="F23" s="112">
        <f t="shared" si="0"/>
        <v>11876.386049999999</v>
      </c>
      <c r="G23" s="113">
        <f t="shared" si="1"/>
        <v>11.876386049999999</v>
      </c>
      <c r="H23" s="114">
        <f>'Drainage calculator'!H$50*E23</f>
        <v>3.4353315667004392</v>
      </c>
      <c r="I23" s="111">
        <f t="shared" si="2"/>
        <v>8.4410544832995598</v>
      </c>
      <c r="J23" s="104"/>
      <c r="M23" s="115"/>
    </row>
    <row r="24" spans="1:13" hidden="1" x14ac:dyDescent="0.25">
      <c r="A24" s="104">
        <v>1440</v>
      </c>
      <c r="B24" s="110" t="s">
        <v>138</v>
      </c>
      <c r="C24" s="110">
        <f>'Input-Rainfall Data'!D31</f>
        <v>2.35</v>
      </c>
      <c r="D24" s="111">
        <f>(('Drainage calculator'!F$6*'Drainage calculator'!F$32)+('Drainage calculator'!F$7*'Drainage calculator'!F$33)+('Drainage calculator'!F$9*'Drainage calculator'!F$34))*C24/3600</f>
        <v>0.15112360416666668</v>
      </c>
      <c r="E24" s="110">
        <f>24*3600</f>
        <v>86400</v>
      </c>
      <c r="F24" s="112">
        <f t="shared" si="0"/>
        <v>13057.079400000001</v>
      </c>
      <c r="G24" s="113">
        <f t="shared" si="1"/>
        <v>13.057079400000001</v>
      </c>
      <c r="H24" s="114">
        <f>'Drainage calculator'!H$50*E24</f>
        <v>4.5804420889339186</v>
      </c>
      <c r="I24" s="111">
        <f t="shared" si="2"/>
        <v>8.4766373110660815</v>
      </c>
      <c r="J24" s="104"/>
      <c r="M24" s="115"/>
    </row>
    <row r="25" spans="1:13" hidden="1" x14ac:dyDescent="0.25">
      <c r="A25" s="104">
        <v>1800</v>
      </c>
      <c r="B25" s="110" t="s">
        <v>139</v>
      </c>
      <c r="C25" s="110">
        <f>'Input-Rainfall Data'!D32</f>
        <v>2.0299999999999998</v>
      </c>
      <c r="D25" s="111">
        <f>(('Drainage calculator'!F$6*'Drainage calculator'!F$32)+('Drainage calculator'!F$7*'Drainage calculator'!F$33)+('Drainage calculator'!F$9*'Drainage calculator'!F$34))*C25/3600</f>
        <v>0.13054507083333333</v>
      </c>
      <c r="E25" s="110">
        <f>30*3600</f>
        <v>108000</v>
      </c>
      <c r="F25" s="112">
        <f t="shared" si="0"/>
        <v>14098.86765</v>
      </c>
      <c r="G25" s="113">
        <f t="shared" si="1"/>
        <v>14.098867650000001</v>
      </c>
      <c r="H25" s="114">
        <f>'Drainage calculator'!H$50*E25</f>
        <v>5.725552611167398</v>
      </c>
      <c r="I25" s="111">
        <f t="shared" si="2"/>
        <v>8.3733150388326028</v>
      </c>
      <c r="J25" s="104"/>
      <c r="M25" s="115"/>
    </row>
    <row r="26" spans="1:13" hidden="1" x14ac:dyDescent="0.25">
      <c r="A26" s="104">
        <v>2160</v>
      </c>
      <c r="B26" s="110" t="s">
        <v>140</v>
      </c>
      <c r="C26" s="110">
        <f>'Input-Rainfall Data'!D33</f>
        <v>1.79</v>
      </c>
      <c r="D26" s="111">
        <f>(('Drainage calculator'!F$6*'Drainage calculator'!F$32)+('Drainage calculator'!F$7*'Drainage calculator'!F$33)+('Drainage calculator'!F$9*'Drainage calculator'!F$34))*C26/3600</f>
        <v>0.11511117083333333</v>
      </c>
      <c r="E26" s="110">
        <f>36*3600</f>
        <v>129600</v>
      </c>
      <c r="F26" s="112">
        <f t="shared" si="0"/>
        <v>14918.407740000001</v>
      </c>
      <c r="G26" s="113">
        <f t="shared" si="1"/>
        <v>14.918407740000001</v>
      </c>
      <c r="H26" s="114">
        <f>'Drainage calculator'!H$50*E26</f>
        <v>6.8706631334008783</v>
      </c>
      <c r="I26" s="111">
        <f t="shared" si="2"/>
        <v>8.0477446065991227</v>
      </c>
      <c r="J26" s="104"/>
      <c r="M26" s="115"/>
    </row>
    <row r="27" spans="1:13" hidden="1" x14ac:dyDescent="0.25">
      <c r="A27" s="104">
        <v>2880</v>
      </c>
      <c r="B27" s="110" t="s">
        <v>141</v>
      </c>
      <c r="C27" s="110">
        <f>'Input-Rainfall Data'!D34</f>
        <v>1.47</v>
      </c>
      <c r="D27" s="111">
        <f>(('Drainage calculator'!F$6*'Drainage calculator'!F$32)+('Drainage calculator'!F$7*'Drainage calculator'!F$33)+('Drainage calculator'!F$9*'Drainage calculator'!F$34))*C27/3600</f>
        <v>9.4532637500000002E-2</v>
      </c>
      <c r="E27" s="110">
        <f>48*3600</f>
        <v>172800</v>
      </c>
      <c r="F27" s="112">
        <f t="shared" si="0"/>
        <v>16335.23976</v>
      </c>
      <c r="G27" s="113">
        <f t="shared" si="1"/>
        <v>16.33523976</v>
      </c>
      <c r="H27" s="114">
        <f>'Drainage calculator'!H$50*E27</f>
        <v>9.1608841778678372</v>
      </c>
      <c r="I27" s="111">
        <f t="shared" si="2"/>
        <v>7.1743555821321632</v>
      </c>
      <c r="J27" s="104"/>
      <c r="M27" s="115"/>
    </row>
    <row r="28" spans="1:13" hidden="1" x14ac:dyDescent="0.25">
      <c r="A28" s="104">
        <v>4320</v>
      </c>
      <c r="B28" s="110" t="s">
        <v>142</v>
      </c>
      <c r="C28" s="110">
        <f>'Input-Rainfall Data'!D35</f>
        <v>1.1200000000000001</v>
      </c>
      <c r="D28" s="111">
        <f>(('Drainage calculator'!F$6*'Drainage calculator'!F$32)+('Drainage calculator'!F$7*'Drainage calculator'!F$33)+('Drainage calculator'!F$9*'Drainage calculator'!F$34))*C28/3600</f>
        <v>7.2024866666666673E-2</v>
      </c>
      <c r="E28" s="110">
        <f>72*3600</f>
        <v>259200</v>
      </c>
      <c r="F28" s="112">
        <f t="shared" si="0"/>
        <v>18668.845440000001</v>
      </c>
      <c r="G28" s="113">
        <f t="shared" si="1"/>
        <v>18.668845440000002</v>
      </c>
      <c r="H28" s="114">
        <f>'Drainage calculator'!H$50*E28</f>
        <v>13.741326266801757</v>
      </c>
      <c r="I28" s="111">
        <f t="shared" si="2"/>
        <v>4.9275191731982453</v>
      </c>
      <c r="J28" s="104"/>
      <c r="M28" s="115"/>
    </row>
    <row r="29" spans="1:13" hidden="1" x14ac:dyDescent="0.25">
      <c r="A29" s="104">
        <v>5760</v>
      </c>
      <c r="B29" s="110" t="s">
        <v>143</v>
      </c>
      <c r="C29" s="110">
        <f>'Input-Rainfall Data'!D36</f>
        <v>0.92800000000000005</v>
      </c>
      <c r="D29" s="111">
        <f>(('Drainage calculator'!F$6*'Drainage calculator'!F$32)+('Drainage calculator'!F$7*'Drainage calculator'!F$33)+('Drainage calculator'!F$9*'Drainage calculator'!F$34))*C29/3600</f>
        <v>5.967774666666667E-2</v>
      </c>
      <c r="E29" s="110">
        <f>96*3600</f>
        <v>345600</v>
      </c>
      <c r="F29" s="112">
        <f t="shared" si="0"/>
        <v>20624.629248000001</v>
      </c>
      <c r="G29" s="113">
        <f t="shared" si="1"/>
        <v>20.624629248000002</v>
      </c>
      <c r="H29" s="114">
        <f>'Drainage calculator'!H$50*E29</f>
        <v>18.321768355735674</v>
      </c>
      <c r="I29" s="111">
        <f t="shared" si="2"/>
        <v>2.3028608922643272</v>
      </c>
      <c r="J29" s="104"/>
      <c r="M29" s="115"/>
    </row>
    <row r="30" spans="1:13" hidden="1" x14ac:dyDescent="0.25">
      <c r="A30" s="104">
        <v>7200</v>
      </c>
      <c r="B30" s="110" t="s">
        <v>144</v>
      </c>
      <c r="C30" s="110">
        <f>'Input-Rainfall Data'!D37</f>
        <v>0.80500000000000005</v>
      </c>
      <c r="D30" s="111">
        <f>(('Drainage calculator'!F$6*'Drainage calculator'!F$32)+('Drainage calculator'!F$7*'Drainage calculator'!F$33)+('Drainage calculator'!F$9*'Drainage calculator'!F$34))*C30/3600</f>
        <v>5.1767872916666673E-2</v>
      </c>
      <c r="E30" s="110">
        <f>120*3600</f>
        <v>432000</v>
      </c>
      <c r="F30" s="112">
        <f t="shared" si="0"/>
        <v>22363.721100000002</v>
      </c>
      <c r="G30" s="113">
        <f t="shared" si="1"/>
        <v>22.363721100000003</v>
      </c>
      <c r="H30" s="114">
        <f>'Drainage calculator'!H$50*E30</f>
        <v>22.902210444669592</v>
      </c>
      <c r="I30" s="111">
        <f t="shared" si="2"/>
        <v>-0.53848934466958909</v>
      </c>
      <c r="J30" s="104"/>
      <c r="M30" s="115"/>
    </row>
    <row r="31" spans="1:13" hidden="1" x14ac:dyDescent="0.25">
      <c r="A31" s="104">
        <v>8640</v>
      </c>
      <c r="B31" s="110" t="s">
        <v>145</v>
      </c>
      <c r="C31" s="110">
        <f>'Input-Rainfall Data'!D38</f>
        <v>0.72099999999999997</v>
      </c>
      <c r="D31" s="111">
        <f>(('Drainage calculator'!F$6*'Drainage calculator'!F$32)+('Drainage calculator'!F$7*'Drainage calculator'!F$33)+('Drainage calculator'!F$9*'Drainage calculator'!F$34))*C31/3600</f>
        <v>4.6366007916666667E-2</v>
      </c>
      <c r="E31" s="110">
        <f>144*3600</f>
        <v>518400</v>
      </c>
      <c r="F31" s="112">
        <f t="shared" si="0"/>
        <v>24036.138503999999</v>
      </c>
      <c r="G31" s="113">
        <f t="shared" si="1"/>
        <v>24.036138504</v>
      </c>
      <c r="H31" s="114">
        <f>'Drainage calculator'!H$50*E31</f>
        <v>27.482652533603513</v>
      </c>
      <c r="I31" s="111">
        <f t="shared" si="2"/>
        <v>-3.4465140296035131</v>
      </c>
      <c r="J31" s="104"/>
      <c r="M31" s="115"/>
    </row>
    <row r="32" spans="1:13" hidden="1" x14ac:dyDescent="0.25">
      <c r="A32" s="104">
        <v>10080</v>
      </c>
      <c r="B32" s="110" t="s">
        <v>146</v>
      </c>
      <c r="C32" s="110">
        <f>'Input-Rainfall Data'!D39</f>
        <v>0.65900000000000003</v>
      </c>
      <c r="D32" s="111">
        <f>(('Drainage calculator'!F$6*'Drainage calculator'!F$32)+('Drainage calculator'!F$7*'Drainage calculator'!F$33)+('Drainage calculator'!F$9*'Drainage calculator'!F$34))*C32/3600</f>
        <v>4.2378917083333328E-2</v>
      </c>
      <c r="E32" s="110">
        <f>168*3600</f>
        <v>604800</v>
      </c>
      <c r="F32" s="112">
        <f t="shared" si="0"/>
        <v>25630.769051999996</v>
      </c>
      <c r="G32" s="113">
        <f t="shared" si="1"/>
        <v>25.630769051999994</v>
      </c>
      <c r="H32" s="114">
        <f>'Drainage calculator'!H$50*E32</f>
        <v>32.063094622537434</v>
      </c>
      <c r="I32" s="111">
        <f t="shared" si="2"/>
        <v>-6.43232557053744</v>
      </c>
      <c r="J32" s="104"/>
      <c r="M32" s="115"/>
    </row>
    <row r="33" spans="1:13" hidden="1" x14ac:dyDescent="0.25">
      <c r="H33" s="110" t="s">
        <v>213</v>
      </c>
      <c r="I33" s="111">
        <f>MAX(I4:I32)</f>
        <v>8.4766373110660815</v>
      </c>
      <c r="J33" s="104" t="s">
        <v>214</v>
      </c>
      <c r="M33" s="117"/>
    </row>
    <row r="34" spans="1:13" hidden="1" x14ac:dyDescent="0.25">
      <c r="H34" s="110" t="s">
        <v>215</v>
      </c>
      <c r="I34" s="110" t="str">
        <f>INDEX(B4:B32, MATCH(I33, I4:I32, 0))</f>
        <v>24 hour</v>
      </c>
      <c r="J34" s="104"/>
      <c r="M34" s="117"/>
    </row>
    <row r="35" spans="1:13" hidden="1" x14ac:dyDescent="0.25">
      <c r="H35" s="110" t="s">
        <v>216</v>
      </c>
      <c r="I35" s="110">
        <f>INDEX(C4:C32, MATCH(I33, I4:I32, 0))</f>
        <v>2.35</v>
      </c>
      <c r="J35" s="104"/>
      <c r="M35" s="117"/>
    </row>
    <row r="36" spans="1:13" hidden="1" x14ac:dyDescent="0.25">
      <c r="H36" s="110" t="s">
        <v>217</v>
      </c>
      <c r="I36" s="111">
        <f>INDEX(D4:D32, MATCH(I33, I4:I32, 0))</f>
        <v>0.15112360416666668</v>
      </c>
      <c r="J36" s="104" t="s">
        <v>218</v>
      </c>
      <c r="M36" s="117"/>
    </row>
    <row r="37" spans="1:13" hidden="1" x14ac:dyDescent="0.25">
      <c r="H37" s="110" t="str">
        <f>'Drainage calculator'!F$37 &amp; " Minutes Duration="</f>
        <v>60 Minutes Duration=</v>
      </c>
      <c r="I37" s="111">
        <f>_xlfn.XLOOKUP('Drainage calculator'!F$37,A$4:A$32,I$4:I$32)</f>
        <v>4.1383571962944199</v>
      </c>
      <c r="J37" s="104" t="s">
        <v>214</v>
      </c>
      <c r="M37" s="117"/>
    </row>
    <row r="38" spans="1:13" x14ac:dyDescent="0.25">
      <c r="M38" s="117"/>
    </row>
    <row r="39" spans="1:13" ht="14.45" customHeight="1" x14ac:dyDescent="0.25">
      <c r="A39" s="104"/>
      <c r="B39" s="367" t="s">
        <v>105</v>
      </c>
      <c r="C39" s="367"/>
      <c r="D39" s="367"/>
      <c r="E39" s="367"/>
      <c r="F39" s="367"/>
      <c r="G39" s="367"/>
      <c r="H39" s="367"/>
      <c r="I39" s="367"/>
      <c r="J39" s="104"/>
    </row>
    <row r="40" spans="1:13" ht="30" x14ac:dyDescent="0.25">
      <c r="A40" s="104"/>
      <c r="B40" s="106" t="s">
        <v>117</v>
      </c>
      <c r="C40" s="107" t="s">
        <v>219</v>
      </c>
      <c r="D40" s="106" t="s">
        <v>40</v>
      </c>
      <c r="E40" s="106" t="s">
        <v>209</v>
      </c>
      <c r="F40" s="106" t="s">
        <v>210</v>
      </c>
      <c r="G40" s="106" t="s">
        <v>42</v>
      </c>
      <c r="H40" s="108" t="s">
        <v>211</v>
      </c>
      <c r="I40" s="106" t="s">
        <v>212</v>
      </c>
      <c r="J40" s="104"/>
      <c r="L40" s="109"/>
      <c r="M40" s="109"/>
    </row>
    <row r="41" spans="1:13" x14ac:dyDescent="0.25">
      <c r="A41" s="104">
        <v>1</v>
      </c>
      <c r="B41" s="110" t="s">
        <v>118</v>
      </c>
      <c r="C41" s="110">
        <f>'Input-Rainfall Data'!G11</f>
        <v>200</v>
      </c>
      <c r="D41" s="111">
        <f>(('Drainage calculator'!F$6*'Drainage calculator'!F$32)+('Drainage calculator'!F$7*'Drainage calculator'!F$33)+('Drainage calculator'!F$9*'Drainage calculator'!F$34))*C41/3600</f>
        <v>12.861583333333332</v>
      </c>
      <c r="E41" s="110">
        <f>1*60</f>
        <v>60</v>
      </c>
      <c r="F41" s="112">
        <f t="shared" ref="F41:F69" si="3">D41*E41</f>
        <v>771.69499999999994</v>
      </c>
      <c r="G41" s="113">
        <f t="shared" ref="G41:G69" si="4">F41/1000</f>
        <v>0.77169499999999991</v>
      </c>
      <c r="H41" s="114">
        <f>'Drainage calculator'!H$50*E41</f>
        <v>3.1808625617596657E-3</v>
      </c>
      <c r="I41" s="111">
        <f>G41-H41</f>
        <v>0.76851413743824026</v>
      </c>
      <c r="J41" s="104"/>
      <c r="L41" s="118"/>
      <c r="M41" s="115"/>
    </row>
    <row r="42" spans="1:13" x14ac:dyDescent="0.25">
      <c r="A42" s="104">
        <v>2</v>
      </c>
      <c r="B42" s="110" t="s">
        <v>119</v>
      </c>
      <c r="C42" s="110">
        <f>'Input-Rainfall Data'!G12</f>
        <v>169</v>
      </c>
      <c r="D42" s="111">
        <f>(('Drainage calculator'!F$6*'Drainage calculator'!F$32)+('Drainage calculator'!F$7*'Drainage calculator'!F$33)+('Drainage calculator'!F$9*'Drainage calculator'!F$34))*C42/3600</f>
        <v>10.868037916666665</v>
      </c>
      <c r="E42" s="110">
        <f>2*60</f>
        <v>120</v>
      </c>
      <c r="F42" s="112">
        <f t="shared" si="3"/>
        <v>1304.16455</v>
      </c>
      <c r="G42" s="113">
        <f t="shared" si="4"/>
        <v>1.3041645499999999</v>
      </c>
      <c r="H42" s="114">
        <f>'Drainage calculator'!H$50*E42</f>
        <v>6.3617251235193314E-3</v>
      </c>
      <c r="I42" s="111">
        <f t="shared" ref="I42:I69" si="5">G42-H42</f>
        <v>1.2978028248764806</v>
      </c>
      <c r="J42" s="104"/>
      <c r="L42" s="118"/>
      <c r="M42" s="115"/>
    </row>
    <row r="43" spans="1:13" x14ac:dyDescent="0.25">
      <c r="A43" s="104">
        <v>3</v>
      </c>
      <c r="B43" s="110" t="s">
        <v>120</v>
      </c>
      <c r="C43" s="110">
        <f>'Input-Rainfall Data'!G13</f>
        <v>152</v>
      </c>
      <c r="D43" s="111">
        <f>(('Drainage calculator'!F$6*'Drainage calculator'!F$32)+('Drainage calculator'!F$7*'Drainage calculator'!F$33)+('Drainage calculator'!F$9*'Drainage calculator'!F$34))*C43/3600</f>
        <v>9.7748033333333328</v>
      </c>
      <c r="E43" s="110">
        <f>3*60</f>
        <v>180</v>
      </c>
      <c r="F43" s="112">
        <f t="shared" si="3"/>
        <v>1759.4646</v>
      </c>
      <c r="G43" s="113">
        <f t="shared" si="4"/>
        <v>1.7594646</v>
      </c>
      <c r="H43" s="114">
        <f>'Drainage calculator'!H$50*E43</f>
        <v>9.5425876852789967E-3</v>
      </c>
      <c r="I43" s="111">
        <f t="shared" si="5"/>
        <v>1.749922012314721</v>
      </c>
      <c r="J43" s="104"/>
      <c r="L43" s="118"/>
      <c r="M43" s="115"/>
    </row>
    <row r="44" spans="1:13" x14ac:dyDescent="0.25">
      <c r="A44" s="104">
        <v>4</v>
      </c>
      <c r="B44" s="110" t="s">
        <v>121</v>
      </c>
      <c r="C44" s="110">
        <f>'Input-Rainfall Data'!G14</f>
        <v>140</v>
      </c>
      <c r="D44" s="111">
        <f>(('Drainage calculator'!F$6*'Drainage calculator'!F$32)+('Drainage calculator'!F$7*'Drainage calculator'!F$33)+('Drainage calculator'!F$9*'Drainage calculator'!F$34))*C44/3600</f>
        <v>9.0031083333333335</v>
      </c>
      <c r="E44" s="110">
        <f>4*60</f>
        <v>240</v>
      </c>
      <c r="F44" s="112">
        <f t="shared" si="3"/>
        <v>2160.7460000000001</v>
      </c>
      <c r="G44" s="113">
        <f t="shared" si="4"/>
        <v>2.1607460000000001</v>
      </c>
      <c r="H44" s="114">
        <f>'Drainage calculator'!H$50*E44</f>
        <v>1.2723450247038663E-2</v>
      </c>
      <c r="I44" s="111">
        <f t="shared" si="5"/>
        <v>2.1480225497529615</v>
      </c>
      <c r="J44" s="104"/>
      <c r="L44" s="118"/>
      <c r="M44" s="115"/>
    </row>
    <row r="45" spans="1:13" x14ac:dyDescent="0.25">
      <c r="A45" s="104">
        <v>5</v>
      </c>
      <c r="B45" s="110" t="s">
        <v>122</v>
      </c>
      <c r="C45" s="110">
        <f>'Input-Rainfall Data'!G15</f>
        <v>129</v>
      </c>
      <c r="D45" s="111">
        <f>(('Drainage calculator'!F$6*'Drainage calculator'!F$32)+('Drainage calculator'!F$7*'Drainage calculator'!F$33)+('Drainage calculator'!F$9*'Drainage calculator'!F$34))*C45/3600</f>
        <v>8.2957212499999997</v>
      </c>
      <c r="E45" s="110">
        <f>5*60</f>
        <v>300</v>
      </c>
      <c r="F45" s="112">
        <f t="shared" si="3"/>
        <v>2488.716375</v>
      </c>
      <c r="G45" s="113">
        <f t="shared" si="4"/>
        <v>2.4887163750000001</v>
      </c>
      <c r="H45" s="114">
        <f>'Drainage calculator'!H$50*E45</f>
        <v>1.5904312808798327E-2</v>
      </c>
      <c r="I45" s="111">
        <f t="shared" si="5"/>
        <v>2.4728120621912018</v>
      </c>
      <c r="J45" s="104"/>
      <c r="L45" s="118"/>
      <c r="M45" s="115"/>
    </row>
    <row r="46" spans="1:13" x14ac:dyDescent="0.25">
      <c r="A46" s="104">
        <v>10</v>
      </c>
      <c r="B46" s="110" t="s">
        <v>123</v>
      </c>
      <c r="C46" s="110">
        <f>'Input-Rainfall Data'!G16</f>
        <v>95.5</v>
      </c>
      <c r="D46" s="111">
        <f>(('Drainage calculator'!F$6*'Drainage calculator'!F$32)+('Drainage calculator'!F$7*'Drainage calculator'!F$33)+('Drainage calculator'!F$9*'Drainage calculator'!F$34))*C46/3600</f>
        <v>6.1414060416666665</v>
      </c>
      <c r="E46" s="110">
        <f>10*60</f>
        <v>600</v>
      </c>
      <c r="F46" s="112">
        <f t="shared" si="3"/>
        <v>3684.843625</v>
      </c>
      <c r="G46" s="113">
        <f t="shared" si="4"/>
        <v>3.6848436250000001</v>
      </c>
      <c r="H46" s="114">
        <f>'Drainage calculator'!H$50*E46</f>
        <v>3.1808625617596654E-2</v>
      </c>
      <c r="I46" s="111">
        <f t="shared" si="5"/>
        <v>3.6530349993824034</v>
      </c>
      <c r="J46" s="104"/>
      <c r="L46" s="118"/>
      <c r="M46" s="115"/>
    </row>
    <row r="47" spans="1:13" x14ac:dyDescent="0.25">
      <c r="A47" s="104">
        <v>15</v>
      </c>
      <c r="B47" s="110" t="s">
        <v>124</v>
      </c>
      <c r="C47" s="110">
        <f>'Input-Rainfall Data'!G17</f>
        <v>76.900000000000006</v>
      </c>
      <c r="D47" s="111">
        <f>(('Drainage calculator'!F$6*'Drainage calculator'!F$32)+('Drainage calculator'!F$7*'Drainage calculator'!F$33)+('Drainage calculator'!F$9*'Drainage calculator'!F$34))*C47/3600</f>
        <v>4.9452787916666674</v>
      </c>
      <c r="E47" s="110">
        <f>15*60</f>
        <v>900</v>
      </c>
      <c r="F47" s="112">
        <f t="shared" si="3"/>
        <v>4450.7509125000006</v>
      </c>
      <c r="G47" s="113">
        <f t="shared" si="4"/>
        <v>4.4507509125000002</v>
      </c>
      <c r="H47" s="114">
        <f>'Drainage calculator'!H$50*E47</f>
        <v>4.7712938426394985E-2</v>
      </c>
      <c r="I47" s="111">
        <f t="shared" si="5"/>
        <v>4.4030379740736052</v>
      </c>
      <c r="J47" s="104"/>
      <c r="L47" s="118"/>
      <c r="M47" s="115"/>
    </row>
    <row r="48" spans="1:13" x14ac:dyDescent="0.25">
      <c r="A48" s="104">
        <v>20</v>
      </c>
      <c r="B48" s="110" t="s">
        <v>125</v>
      </c>
      <c r="C48" s="110">
        <f>'Input-Rainfall Data'!G18</f>
        <v>65</v>
      </c>
      <c r="D48" s="111">
        <f>(('Drainage calculator'!F$6*'Drainage calculator'!F$32)+('Drainage calculator'!F$7*'Drainage calculator'!F$33)+('Drainage calculator'!F$9*'Drainage calculator'!F$34))*C48/3600</f>
        <v>4.1800145833333335</v>
      </c>
      <c r="E48" s="110">
        <f>20*60</f>
        <v>1200</v>
      </c>
      <c r="F48" s="112">
        <f t="shared" si="3"/>
        <v>5016.0174999999999</v>
      </c>
      <c r="G48" s="113">
        <f t="shared" si="4"/>
        <v>5.0160175000000002</v>
      </c>
      <c r="H48" s="114">
        <f>'Drainage calculator'!H$50*E48</f>
        <v>6.3617251235193309E-2</v>
      </c>
      <c r="I48" s="111">
        <f t="shared" si="5"/>
        <v>4.9524002487648069</v>
      </c>
      <c r="J48" s="104"/>
      <c r="L48" s="118"/>
      <c r="M48" s="115"/>
    </row>
    <row r="49" spans="1:13" x14ac:dyDescent="0.25">
      <c r="A49" s="104">
        <v>25</v>
      </c>
      <c r="B49" s="110" t="s">
        <v>126</v>
      </c>
      <c r="C49" s="110">
        <f>'Input-Rainfall Data'!G19</f>
        <v>56.8</v>
      </c>
      <c r="D49" s="111">
        <f>(('Drainage calculator'!F$6*'Drainage calculator'!F$32)+('Drainage calculator'!F$7*'Drainage calculator'!F$33)+('Drainage calculator'!F$9*'Drainage calculator'!F$34))*C49/3600</f>
        <v>3.6526896666666664</v>
      </c>
      <c r="E49" s="110">
        <f>25*60</f>
        <v>1500</v>
      </c>
      <c r="F49" s="112">
        <f t="shared" si="3"/>
        <v>5479.0344999999998</v>
      </c>
      <c r="G49" s="113">
        <f t="shared" si="4"/>
        <v>5.4790345</v>
      </c>
      <c r="H49" s="114">
        <f>'Drainage calculator'!H$50*E49</f>
        <v>7.9521564043991647E-2</v>
      </c>
      <c r="I49" s="111">
        <f t="shared" si="5"/>
        <v>5.3995129359560083</v>
      </c>
      <c r="J49" s="104"/>
      <c r="L49" s="118"/>
      <c r="M49" s="115"/>
    </row>
    <row r="50" spans="1:13" x14ac:dyDescent="0.25">
      <c r="A50" s="104">
        <v>30</v>
      </c>
      <c r="B50" s="110" t="s">
        <v>127</v>
      </c>
      <c r="C50" s="110">
        <f>'Input-Rainfall Data'!G20</f>
        <v>50.7</v>
      </c>
      <c r="D50" s="111">
        <f>(('Drainage calculator'!F$6*'Drainage calculator'!F$32)+('Drainage calculator'!F$7*'Drainage calculator'!F$33)+('Drainage calculator'!F$9*'Drainage calculator'!F$34))*C50/3600</f>
        <v>3.2604113750000003</v>
      </c>
      <c r="E50" s="110">
        <f>30*60</f>
        <v>1800</v>
      </c>
      <c r="F50" s="112">
        <f t="shared" si="3"/>
        <v>5868.7404750000005</v>
      </c>
      <c r="G50" s="113">
        <f t="shared" si="4"/>
        <v>5.868740475000001</v>
      </c>
      <c r="H50" s="114">
        <f>'Drainage calculator'!H$50*E50</f>
        <v>9.542587685278997E-2</v>
      </c>
      <c r="I50" s="111">
        <f t="shared" si="5"/>
        <v>5.7733145981472109</v>
      </c>
      <c r="J50" s="104"/>
      <c r="L50" s="118"/>
      <c r="M50" s="115"/>
    </row>
    <row r="51" spans="1:13" x14ac:dyDescent="0.25">
      <c r="A51" s="104">
        <v>45</v>
      </c>
      <c r="B51" s="110" t="s">
        <v>128</v>
      </c>
      <c r="C51" s="110">
        <f>'Input-Rainfall Data'!G21</f>
        <v>39.200000000000003</v>
      </c>
      <c r="D51" s="111">
        <f>(('Drainage calculator'!F$6*'Drainage calculator'!F$32)+('Drainage calculator'!F$7*'Drainage calculator'!F$33)+('Drainage calculator'!F$9*'Drainage calculator'!F$34))*C51/3600</f>
        <v>2.5208703333333333</v>
      </c>
      <c r="E51" s="110">
        <f>45*60</f>
        <v>2700</v>
      </c>
      <c r="F51" s="112">
        <f t="shared" si="3"/>
        <v>6806.3499000000002</v>
      </c>
      <c r="G51" s="113">
        <f t="shared" si="4"/>
        <v>6.8063498999999998</v>
      </c>
      <c r="H51" s="114">
        <f>'Drainage calculator'!H$50*E51</f>
        <v>0.14313881527918496</v>
      </c>
      <c r="I51" s="111">
        <f t="shared" si="5"/>
        <v>6.6632110847208148</v>
      </c>
      <c r="J51" s="104"/>
      <c r="L51" s="118"/>
      <c r="M51" s="115"/>
    </row>
    <row r="52" spans="1:13" x14ac:dyDescent="0.25">
      <c r="A52" s="119">
        <v>60</v>
      </c>
      <c r="B52" s="120" t="s">
        <v>129</v>
      </c>
      <c r="C52" s="120">
        <f>'Input-Rainfall Data'!G22</f>
        <v>32.5</v>
      </c>
      <c r="D52" s="121">
        <f>(('Drainage calculator'!F$6*'Drainage calculator'!F$32)+('Drainage calculator'!F$7*'Drainage calculator'!F$33)+('Drainage calculator'!F$9*'Drainage calculator'!F$34))*C52/3600</f>
        <v>2.0900072916666668</v>
      </c>
      <c r="E52" s="120">
        <f>60*60</f>
        <v>3600</v>
      </c>
      <c r="F52" s="122">
        <f t="shared" si="3"/>
        <v>7524.0262500000008</v>
      </c>
      <c r="G52" s="123">
        <f t="shared" si="4"/>
        <v>7.5240262500000004</v>
      </c>
      <c r="H52" s="124">
        <f>'Drainage calculator'!H$50*E52</f>
        <v>0.19085175370557994</v>
      </c>
      <c r="I52" s="121">
        <f t="shared" si="5"/>
        <v>7.3331744962944203</v>
      </c>
      <c r="J52" s="104"/>
      <c r="K52" s="116"/>
      <c r="L52" s="118"/>
      <c r="M52" s="115"/>
    </row>
    <row r="53" spans="1:13" x14ac:dyDescent="0.25">
      <c r="A53" s="104">
        <v>90</v>
      </c>
      <c r="B53" s="110" t="s">
        <v>130</v>
      </c>
      <c r="C53" s="110">
        <f>'Input-Rainfall Data'!G23</f>
        <v>25.1</v>
      </c>
      <c r="D53" s="111">
        <f>(('Drainage calculator'!F$6*'Drainage calculator'!F$32)+('Drainage calculator'!F$7*'Drainage calculator'!F$33)+('Drainage calculator'!F$9*'Drainage calculator'!F$34))*C53/3600</f>
        <v>1.6141287083333336</v>
      </c>
      <c r="E53" s="110">
        <f>1.5*3600</f>
        <v>5400</v>
      </c>
      <c r="F53" s="112">
        <f t="shared" si="3"/>
        <v>8716.2950250000013</v>
      </c>
      <c r="G53" s="113">
        <f t="shared" si="4"/>
        <v>8.7162950250000009</v>
      </c>
      <c r="H53" s="114">
        <f>'Drainage calculator'!H$50*E53</f>
        <v>0.28627763055836991</v>
      </c>
      <c r="I53" s="111">
        <f t="shared" si="5"/>
        <v>8.4300173944416308</v>
      </c>
      <c r="J53" s="104"/>
      <c r="L53" s="118"/>
      <c r="M53" s="115"/>
    </row>
    <row r="54" spans="1:13" x14ac:dyDescent="0.25">
      <c r="A54" s="104">
        <v>120</v>
      </c>
      <c r="B54" s="110" t="s">
        <v>131</v>
      </c>
      <c r="C54" s="110">
        <f>'Input-Rainfall Data'!G24</f>
        <v>20.9</v>
      </c>
      <c r="D54" s="111">
        <f>(('Drainage calculator'!F$6*'Drainage calculator'!F$32)+('Drainage calculator'!F$7*'Drainage calculator'!F$33)+('Drainage calculator'!F$9*'Drainage calculator'!F$34))*C54/3600</f>
        <v>1.3440354583333334</v>
      </c>
      <c r="E54" s="110">
        <f>2*3600</f>
        <v>7200</v>
      </c>
      <c r="F54" s="112">
        <f t="shared" si="3"/>
        <v>9677.0553</v>
      </c>
      <c r="G54" s="113">
        <f t="shared" si="4"/>
        <v>9.6770552999999992</v>
      </c>
      <c r="H54" s="114">
        <f>'Drainage calculator'!H$50*E54</f>
        <v>0.38170350741115988</v>
      </c>
      <c r="I54" s="111">
        <f t="shared" si="5"/>
        <v>9.2953517925888391</v>
      </c>
      <c r="J54" s="104"/>
      <c r="L54" s="118"/>
      <c r="M54" s="115"/>
    </row>
    <row r="55" spans="1:13" x14ac:dyDescent="0.25">
      <c r="A55" s="104">
        <v>180</v>
      </c>
      <c r="B55" s="110" t="s">
        <v>132</v>
      </c>
      <c r="C55" s="110">
        <f>'Input-Rainfall Data'!G25</f>
        <v>16.2</v>
      </c>
      <c r="D55" s="111">
        <f>(('Drainage calculator'!F$6*'Drainage calculator'!F$32)+('Drainage calculator'!F$7*'Drainage calculator'!F$33)+('Drainage calculator'!F$9*'Drainage calculator'!F$34))*C55/3600</f>
        <v>1.04178825</v>
      </c>
      <c r="E55" s="110">
        <f>3*3600</f>
        <v>10800</v>
      </c>
      <c r="F55" s="112">
        <f t="shared" si="3"/>
        <v>11251.313099999999</v>
      </c>
      <c r="G55" s="113">
        <f t="shared" si="4"/>
        <v>11.251313099999999</v>
      </c>
      <c r="H55" s="114">
        <f>'Drainage calculator'!H$50*E55</f>
        <v>0.57255526111673982</v>
      </c>
      <c r="I55" s="111">
        <f t="shared" si="5"/>
        <v>10.678757838883259</v>
      </c>
      <c r="J55" s="104"/>
      <c r="L55" s="118"/>
      <c r="M55" s="115"/>
    </row>
    <row r="56" spans="1:13" x14ac:dyDescent="0.25">
      <c r="A56" s="104">
        <v>270</v>
      </c>
      <c r="B56" s="110" t="s">
        <v>133</v>
      </c>
      <c r="C56" s="110">
        <f>'Input-Rainfall Data'!G26</f>
        <v>12.6</v>
      </c>
      <c r="D56" s="111">
        <f>(('Drainage calculator'!F$6*'Drainage calculator'!F$32)+('Drainage calculator'!F$7*'Drainage calculator'!F$33)+('Drainage calculator'!F$9*'Drainage calculator'!F$34))*C56/3600</f>
        <v>0.81027974999999997</v>
      </c>
      <c r="E56" s="110">
        <f>4.5*3600</f>
        <v>16200</v>
      </c>
      <c r="F56" s="112">
        <f t="shared" si="3"/>
        <v>13126.531949999999</v>
      </c>
      <c r="G56" s="113">
        <f t="shared" si="4"/>
        <v>13.126531949999999</v>
      </c>
      <c r="H56" s="114">
        <f>'Drainage calculator'!H$50*E56</f>
        <v>0.85883289167510979</v>
      </c>
      <c r="I56" s="111">
        <f t="shared" si="5"/>
        <v>12.267699058324888</v>
      </c>
      <c r="J56" s="104"/>
      <c r="L56" s="118"/>
      <c r="M56" s="115"/>
    </row>
    <row r="57" spans="1:13" x14ac:dyDescent="0.25">
      <c r="A57" s="104">
        <v>360</v>
      </c>
      <c r="B57" s="110" t="s">
        <v>134</v>
      </c>
      <c r="C57" s="110">
        <f>'Input-Rainfall Data'!G27</f>
        <v>10.5</v>
      </c>
      <c r="D57" s="111">
        <f>(('Drainage calculator'!F$6*'Drainage calculator'!F$32)+('Drainage calculator'!F$7*'Drainage calculator'!F$33)+('Drainage calculator'!F$9*'Drainage calculator'!F$34))*C57/3600</f>
        <v>0.67523312499999999</v>
      </c>
      <c r="E57" s="110">
        <f>6*3600</f>
        <v>21600</v>
      </c>
      <c r="F57" s="112">
        <f t="shared" si="3"/>
        <v>14585.0355</v>
      </c>
      <c r="G57" s="113">
        <f t="shared" si="4"/>
        <v>14.5850355</v>
      </c>
      <c r="H57" s="114">
        <f>'Drainage calculator'!H$50*E57</f>
        <v>1.1451105222334796</v>
      </c>
      <c r="I57" s="111">
        <f t="shared" si="5"/>
        <v>13.43992497776652</v>
      </c>
      <c r="J57" s="104"/>
      <c r="L57" s="118"/>
      <c r="M57" s="115"/>
    </row>
    <row r="58" spans="1:13" x14ac:dyDescent="0.25">
      <c r="A58" s="104">
        <v>540</v>
      </c>
      <c r="B58" s="110" t="s">
        <v>135</v>
      </c>
      <c r="C58" s="110">
        <f>'Input-Rainfall Data'!G28</f>
        <v>8.14</v>
      </c>
      <c r="D58" s="111">
        <f>(('Drainage calculator'!F$6*'Drainage calculator'!F$32)+('Drainage calculator'!F$7*'Drainage calculator'!F$33)+('Drainage calculator'!F$9*'Drainage calculator'!F$34))*C58/3600</f>
        <v>0.52346644166666667</v>
      </c>
      <c r="E58" s="110">
        <f>9*3600</f>
        <v>32400</v>
      </c>
      <c r="F58" s="112">
        <f t="shared" si="3"/>
        <v>16960.312709999998</v>
      </c>
      <c r="G58" s="113">
        <f t="shared" si="4"/>
        <v>16.960312709999997</v>
      </c>
      <c r="H58" s="114">
        <f>'Drainage calculator'!H$50*E58</f>
        <v>1.7176657833502196</v>
      </c>
      <c r="I58" s="111">
        <f t="shared" si="5"/>
        <v>15.242646926649776</v>
      </c>
      <c r="J58" s="104"/>
      <c r="L58" s="118"/>
      <c r="M58" s="115"/>
    </row>
    <row r="59" spans="1:13" x14ac:dyDescent="0.25">
      <c r="A59" s="104">
        <v>720</v>
      </c>
      <c r="B59" s="110" t="s">
        <v>136</v>
      </c>
      <c r="C59" s="110">
        <f>'Input-Rainfall Data'!G29</f>
        <v>6.74</v>
      </c>
      <c r="D59" s="111">
        <f>(('Drainage calculator'!F$6*'Drainage calculator'!F$32)+('Drainage calculator'!F$7*'Drainage calculator'!F$33)+('Drainage calculator'!F$9*'Drainage calculator'!F$34))*C59/3600</f>
        <v>0.43343535833333335</v>
      </c>
      <c r="E59" s="110">
        <f>12*3600</f>
        <v>43200</v>
      </c>
      <c r="F59" s="112">
        <f t="shared" si="3"/>
        <v>18724.407480000002</v>
      </c>
      <c r="G59" s="113">
        <f t="shared" si="4"/>
        <v>18.72440748</v>
      </c>
      <c r="H59" s="114">
        <f>'Drainage calculator'!H$50*E59</f>
        <v>2.2902210444669593</v>
      </c>
      <c r="I59" s="111">
        <f t="shared" si="5"/>
        <v>16.434186435533039</v>
      </c>
      <c r="J59" s="104"/>
      <c r="L59" s="118"/>
      <c r="M59" s="115"/>
    </row>
    <row r="60" spans="1:13" x14ac:dyDescent="0.25">
      <c r="A60" s="104">
        <v>1080</v>
      </c>
      <c r="B60" s="110" t="s">
        <v>137</v>
      </c>
      <c r="C60" s="110">
        <f>'Input-Rainfall Data'!G30</f>
        <v>5.12</v>
      </c>
      <c r="D60" s="111">
        <f>(('Drainage calculator'!F$6*'Drainage calculator'!F$32)+('Drainage calculator'!F$7*'Drainage calculator'!F$33)+('Drainage calculator'!F$9*'Drainage calculator'!F$34))*C60/3600</f>
        <v>0.32925653333333332</v>
      </c>
      <c r="E60" s="110">
        <f>18*3600</f>
        <v>64800</v>
      </c>
      <c r="F60" s="112">
        <f t="shared" si="3"/>
        <v>21335.823359999999</v>
      </c>
      <c r="G60" s="113">
        <f t="shared" si="4"/>
        <v>21.335823359999999</v>
      </c>
      <c r="H60" s="114">
        <f>'Drainage calculator'!H$50*E60</f>
        <v>3.4353315667004392</v>
      </c>
      <c r="I60" s="111">
        <f t="shared" si="5"/>
        <v>17.900491793299558</v>
      </c>
      <c r="J60" s="104"/>
      <c r="L60" s="118"/>
      <c r="M60" s="115"/>
    </row>
    <row r="61" spans="1:13" x14ac:dyDescent="0.25">
      <c r="A61" s="104">
        <v>1440</v>
      </c>
      <c r="B61" s="110" t="s">
        <v>138</v>
      </c>
      <c r="C61" s="110">
        <f>'Input-Rainfall Data'!G31</f>
        <v>4.17</v>
      </c>
      <c r="D61" s="111">
        <f>(('Drainage calculator'!F$6*'Drainage calculator'!F$32)+('Drainage calculator'!F$7*'Drainage calculator'!F$33)+('Drainage calculator'!F$9*'Drainage calculator'!F$34))*C61/3600</f>
        <v>0.26816401249999999</v>
      </c>
      <c r="E61" s="110">
        <f>24*3600</f>
        <v>86400</v>
      </c>
      <c r="F61" s="112">
        <f t="shared" si="3"/>
        <v>23169.37068</v>
      </c>
      <c r="G61" s="113">
        <f t="shared" si="4"/>
        <v>23.16937068</v>
      </c>
      <c r="H61" s="114">
        <f>'Drainage calculator'!H$50*E61</f>
        <v>4.5804420889339186</v>
      </c>
      <c r="I61" s="111">
        <f t="shared" si="5"/>
        <v>18.588928591066082</v>
      </c>
      <c r="J61" s="104"/>
      <c r="L61" s="118"/>
      <c r="M61" s="115"/>
    </row>
    <row r="62" spans="1:13" x14ac:dyDescent="0.25">
      <c r="A62" s="104">
        <v>1800</v>
      </c>
      <c r="B62" s="110" t="s">
        <v>139</v>
      </c>
      <c r="C62" s="110">
        <f>'Input-Rainfall Data'!G32</f>
        <v>3.54</v>
      </c>
      <c r="D62" s="111">
        <f>(('Drainage calculator'!F$6*'Drainage calculator'!F$32)+('Drainage calculator'!F$7*'Drainage calculator'!F$33)+('Drainage calculator'!F$9*'Drainage calculator'!F$34))*C62/3600</f>
        <v>0.22765002499999998</v>
      </c>
      <c r="E62" s="110">
        <f>30*3600</f>
        <v>108000</v>
      </c>
      <c r="F62" s="112">
        <f t="shared" si="3"/>
        <v>24586.202699999998</v>
      </c>
      <c r="G62" s="113">
        <f t="shared" si="4"/>
        <v>24.586202699999998</v>
      </c>
      <c r="H62" s="114">
        <f>'Drainage calculator'!H$50*E62</f>
        <v>5.725552611167398</v>
      </c>
      <c r="I62" s="111">
        <f t="shared" si="5"/>
        <v>18.8606500888326</v>
      </c>
      <c r="J62" s="104"/>
      <c r="L62" s="118"/>
      <c r="M62" s="115"/>
    </row>
    <row r="63" spans="1:13" x14ac:dyDescent="0.25">
      <c r="A63" s="104">
        <v>2160</v>
      </c>
      <c r="B63" s="110" t="s">
        <v>140</v>
      </c>
      <c r="C63" s="110">
        <f>'Input-Rainfall Data'!G33</f>
        <v>3.09</v>
      </c>
      <c r="D63" s="111">
        <f>(('Drainage calculator'!F$6*'Drainage calculator'!F$32)+('Drainage calculator'!F$7*'Drainage calculator'!F$33)+('Drainage calculator'!F$9*'Drainage calculator'!F$34))*C63/3600</f>
        <v>0.19871146249999999</v>
      </c>
      <c r="E63" s="110">
        <f>36*3600</f>
        <v>129600</v>
      </c>
      <c r="F63" s="112">
        <f t="shared" si="3"/>
        <v>25753.005539999998</v>
      </c>
      <c r="G63" s="113">
        <f t="shared" si="4"/>
        <v>25.753005539999997</v>
      </c>
      <c r="H63" s="114">
        <f>'Drainage calculator'!H$50*E63</f>
        <v>6.8706631334008783</v>
      </c>
      <c r="I63" s="111">
        <f t="shared" si="5"/>
        <v>18.882342406599118</v>
      </c>
      <c r="J63" s="104"/>
      <c r="L63" s="118"/>
      <c r="M63" s="115"/>
    </row>
    <row r="64" spans="1:13" x14ac:dyDescent="0.25">
      <c r="A64" s="104">
        <v>2880</v>
      </c>
      <c r="B64" s="110" t="s">
        <v>141</v>
      </c>
      <c r="C64" s="110">
        <f>'Input-Rainfall Data'!G34</f>
        <v>2.48</v>
      </c>
      <c r="D64" s="111">
        <f>(('Drainage calculator'!F$6*'Drainage calculator'!F$32)+('Drainage calculator'!F$7*'Drainage calculator'!F$33)+('Drainage calculator'!F$9*'Drainage calculator'!F$34))*C64/3600</f>
        <v>0.15948363333333332</v>
      </c>
      <c r="E64" s="110">
        <f>48*3600</f>
        <v>172800</v>
      </c>
      <c r="F64" s="112">
        <f t="shared" si="3"/>
        <v>27558.771839999998</v>
      </c>
      <c r="G64" s="113">
        <f t="shared" si="4"/>
        <v>27.558771839999999</v>
      </c>
      <c r="H64" s="114">
        <f>'Drainage calculator'!H$50*E64</f>
        <v>9.1608841778678372</v>
      </c>
      <c r="I64" s="111">
        <f t="shared" si="5"/>
        <v>18.397887662132163</v>
      </c>
      <c r="J64" s="104"/>
      <c r="L64" s="118"/>
      <c r="M64" s="115"/>
    </row>
    <row r="65" spans="1:13" x14ac:dyDescent="0.25">
      <c r="A65" s="104">
        <v>4320</v>
      </c>
      <c r="B65" s="110" t="s">
        <v>142</v>
      </c>
      <c r="C65" s="110">
        <f>'Input-Rainfall Data'!G35</f>
        <v>1.82</v>
      </c>
      <c r="D65" s="111">
        <f>(('Drainage calculator'!F$6*'Drainage calculator'!F$32)+('Drainage calculator'!F$7*'Drainage calculator'!F$33)+('Drainage calculator'!F$9*'Drainage calculator'!F$34))*C65/3600</f>
        <v>0.11704040833333335</v>
      </c>
      <c r="E65" s="110">
        <f>72*3600</f>
        <v>259200</v>
      </c>
      <c r="F65" s="112">
        <f t="shared" si="3"/>
        <v>30336.873840000004</v>
      </c>
      <c r="G65" s="113">
        <f t="shared" si="4"/>
        <v>30.336873840000003</v>
      </c>
      <c r="H65" s="114">
        <f>'Drainage calculator'!H$50*E65</f>
        <v>13.741326266801757</v>
      </c>
      <c r="I65" s="111">
        <f t="shared" si="5"/>
        <v>16.595547573198246</v>
      </c>
      <c r="J65" s="104"/>
      <c r="L65" s="118"/>
      <c r="M65" s="115"/>
    </row>
    <row r="66" spans="1:13" x14ac:dyDescent="0.25">
      <c r="A66" s="104">
        <v>5760</v>
      </c>
      <c r="B66" s="110" t="s">
        <v>143</v>
      </c>
      <c r="C66" s="110">
        <f>'Input-Rainfall Data'!G36</f>
        <v>1.48</v>
      </c>
      <c r="D66" s="111">
        <f>(('Drainage calculator'!F$6*'Drainage calculator'!F$32)+('Drainage calculator'!F$7*'Drainage calculator'!F$33)+('Drainage calculator'!F$9*'Drainage calculator'!F$34))*C66/3600</f>
        <v>9.5175716666666674E-2</v>
      </c>
      <c r="E66" s="110">
        <f>96*3600</f>
        <v>345600</v>
      </c>
      <c r="F66" s="112">
        <f t="shared" si="3"/>
        <v>32892.727680000004</v>
      </c>
      <c r="G66" s="113">
        <f t="shared" si="4"/>
        <v>32.89272768</v>
      </c>
      <c r="H66" s="114">
        <f>'Drainage calculator'!H$50*E66</f>
        <v>18.321768355735674</v>
      </c>
      <c r="I66" s="111">
        <f t="shared" si="5"/>
        <v>14.570959324264326</v>
      </c>
      <c r="J66" s="104"/>
      <c r="L66" s="118"/>
      <c r="M66" s="115"/>
    </row>
    <row r="67" spans="1:13" x14ac:dyDescent="0.25">
      <c r="A67" s="104">
        <v>7200</v>
      </c>
      <c r="B67" s="110" t="s">
        <v>144</v>
      </c>
      <c r="C67" s="110">
        <f>'Input-Rainfall Data'!G37</f>
        <v>1.27</v>
      </c>
      <c r="D67" s="111">
        <f>(('Drainage calculator'!F$6*'Drainage calculator'!F$32)+('Drainage calculator'!F$7*'Drainage calculator'!F$33)+('Drainage calculator'!F$9*'Drainage calculator'!F$34))*C67/3600</f>
        <v>8.1671054166666673E-2</v>
      </c>
      <c r="E67" s="110">
        <f>120*3600</f>
        <v>432000</v>
      </c>
      <c r="F67" s="112">
        <f t="shared" si="3"/>
        <v>35281.895400000001</v>
      </c>
      <c r="G67" s="113">
        <f t="shared" si="4"/>
        <v>35.281895400000003</v>
      </c>
      <c r="H67" s="114">
        <f>'Drainage calculator'!H$50*E67</f>
        <v>22.902210444669592</v>
      </c>
      <c r="I67" s="111">
        <f t="shared" si="5"/>
        <v>12.379684955330411</v>
      </c>
      <c r="J67" s="104"/>
      <c r="L67" s="118"/>
      <c r="M67" s="115"/>
    </row>
    <row r="68" spans="1:13" x14ac:dyDescent="0.25">
      <c r="A68" s="104">
        <v>8640</v>
      </c>
      <c r="B68" s="110" t="s">
        <v>145</v>
      </c>
      <c r="C68" s="110">
        <f>'Input-Rainfall Data'!G38</f>
        <v>1.1399999999999999</v>
      </c>
      <c r="D68" s="111">
        <f>(('Drainage calculator'!F$6*'Drainage calculator'!F$32)+('Drainage calculator'!F$7*'Drainage calculator'!F$33)+('Drainage calculator'!F$9*'Drainage calculator'!F$34))*C68/3600</f>
        <v>7.3311025000000002E-2</v>
      </c>
      <c r="E68" s="110">
        <f>144*3600</f>
        <v>518400</v>
      </c>
      <c r="F68" s="112">
        <f t="shared" si="3"/>
        <v>38004.435360000003</v>
      </c>
      <c r="G68" s="113">
        <f t="shared" si="4"/>
        <v>38.004435360000002</v>
      </c>
      <c r="H68" s="114">
        <f>'Drainage calculator'!H$50*E68</f>
        <v>27.482652533603513</v>
      </c>
      <c r="I68" s="111">
        <f t="shared" si="5"/>
        <v>10.521782826396489</v>
      </c>
      <c r="J68" s="104"/>
      <c r="L68" s="118"/>
      <c r="M68" s="115"/>
    </row>
    <row r="69" spans="1:13" x14ac:dyDescent="0.25">
      <c r="A69" s="104">
        <v>10080</v>
      </c>
      <c r="B69" s="110" t="s">
        <v>146</v>
      </c>
      <c r="C69" s="110">
        <f>'Input-Rainfall Data'!G39</f>
        <v>1.06</v>
      </c>
      <c r="D69" s="111">
        <f>(('Drainage calculator'!F$6*'Drainage calculator'!F$32)+('Drainage calculator'!F$7*'Drainage calculator'!F$33)+('Drainage calculator'!F$9*'Drainage calculator'!F$34))*C69/3600</f>
        <v>6.8166391666666673E-2</v>
      </c>
      <c r="E69" s="110">
        <f>168*3600</f>
        <v>604800</v>
      </c>
      <c r="F69" s="112">
        <f t="shared" si="3"/>
        <v>41227.03368</v>
      </c>
      <c r="G69" s="113">
        <f t="shared" si="4"/>
        <v>41.227033679999998</v>
      </c>
      <c r="H69" s="114">
        <f>'Drainage calculator'!H$50*E69</f>
        <v>32.063094622537434</v>
      </c>
      <c r="I69" s="111">
        <f t="shared" si="5"/>
        <v>9.1639390574625637</v>
      </c>
      <c r="J69" s="104"/>
      <c r="L69" s="118"/>
      <c r="M69" s="115"/>
    </row>
    <row r="70" spans="1:13" x14ac:dyDescent="0.25">
      <c r="H70" s="125" t="s">
        <v>213</v>
      </c>
      <c r="I70" s="126">
        <f>MAX(I41:I69)</f>
        <v>18.882342406599118</v>
      </c>
      <c r="J70" s="127" t="s">
        <v>214</v>
      </c>
      <c r="L70" s="117"/>
      <c r="M70" s="117"/>
    </row>
    <row r="71" spans="1:13" x14ac:dyDescent="0.25">
      <c r="H71" s="125" t="s">
        <v>215</v>
      </c>
      <c r="I71" s="125" t="str">
        <f>INDEX(B41:B69, MATCH(I70, I41:I69, 0))</f>
        <v>36 hour</v>
      </c>
      <c r="J71" s="127"/>
      <c r="L71" s="117"/>
      <c r="M71" s="117"/>
    </row>
    <row r="72" spans="1:13" x14ac:dyDescent="0.25">
      <c r="H72" s="125" t="s">
        <v>216</v>
      </c>
      <c r="I72" s="125">
        <f>INDEX(C41:C69, MATCH(I70, I41:I69, 0))</f>
        <v>3.09</v>
      </c>
      <c r="J72" s="127"/>
      <c r="L72" s="117"/>
      <c r="M72" s="117"/>
    </row>
    <row r="73" spans="1:13" x14ac:dyDescent="0.25">
      <c r="H73" s="125" t="s">
        <v>217</v>
      </c>
      <c r="I73" s="126">
        <f>INDEX(D41:D69, MATCH(I70, I41:I69, 0))</f>
        <v>0.19871146249999999</v>
      </c>
      <c r="J73" s="127" t="s">
        <v>218</v>
      </c>
      <c r="L73" s="117"/>
      <c r="M73" s="117"/>
    </row>
    <row r="74" spans="1:13" x14ac:dyDescent="0.25">
      <c r="H74" s="125" t="str">
        <f>'Drainage calculator'!F$37 &amp; " Minutes Duration="</f>
        <v>60 Minutes Duration=</v>
      </c>
      <c r="I74" s="126">
        <f>_xlfn.XLOOKUP('Drainage calculator'!F$37,A$41:A$69,I$41:I$69)</f>
        <v>7.3331744962944203</v>
      </c>
      <c r="J74" s="127" t="s">
        <v>214</v>
      </c>
      <c r="L74" s="117"/>
      <c r="M74" s="117"/>
    </row>
    <row r="75" spans="1:13" x14ac:dyDescent="0.25">
      <c r="B75" s="117"/>
      <c r="C75" s="117"/>
      <c r="D75" s="128"/>
      <c r="E75" s="117"/>
      <c r="F75" s="129"/>
      <c r="G75" s="128"/>
      <c r="H75" s="117"/>
      <c r="I75" s="128"/>
      <c r="L75" s="117"/>
      <c r="M75" s="117"/>
    </row>
    <row r="76" spans="1:13" ht="28.9" customHeight="1" x14ac:dyDescent="0.25">
      <c r="A76" s="104"/>
      <c r="B76" s="367" t="s">
        <v>220</v>
      </c>
      <c r="C76" s="367"/>
      <c r="D76" s="367"/>
      <c r="E76" s="367"/>
      <c r="F76" s="367"/>
      <c r="G76" s="367"/>
      <c r="H76" s="367"/>
      <c r="I76" s="367"/>
      <c r="J76" s="104"/>
    </row>
    <row r="77" spans="1:13" x14ac:dyDescent="0.25">
      <c r="A77" s="104"/>
      <c r="B77" s="106" t="s">
        <v>117</v>
      </c>
      <c r="C77" s="107" t="s">
        <v>221</v>
      </c>
      <c r="D77" s="106" t="s">
        <v>40</v>
      </c>
      <c r="E77" s="106" t="s">
        <v>209</v>
      </c>
      <c r="F77" s="106" t="s">
        <v>210</v>
      </c>
      <c r="G77" s="106" t="s">
        <v>42</v>
      </c>
      <c r="H77" s="106" t="s">
        <v>222</v>
      </c>
      <c r="I77" s="106" t="s">
        <v>212</v>
      </c>
      <c r="J77" s="104"/>
      <c r="L77" s="109"/>
      <c r="M77" s="117"/>
    </row>
    <row r="78" spans="1:13" x14ac:dyDescent="0.25">
      <c r="A78" s="104">
        <v>1</v>
      </c>
      <c r="B78" s="110" t="s">
        <v>118</v>
      </c>
      <c r="C78" s="110">
        <f>'Input-Rainfall Data'!I11</f>
        <v>265</v>
      </c>
      <c r="D78" s="113">
        <f>(('Drainage calculator'!F$6*'Drainage calculator'!F$32)+('Drainage calculator'!F$7*'Drainage calculator'!F$33)+('Drainage calculator'!F$9*'Drainage calculator'!F$34))*C78/3600</f>
        <v>17.041597916666667</v>
      </c>
      <c r="E78" s="110">
        <f>1*60</f>
        <v>60</v>
      </c>
      <c r="F78" s="112">
        <f>D78*E78</f>
        <v>1022.4958750000001</v>
      </c>
      <c r="G78" s="113">
        <f>F78/1000</f>
        <v>1.0224958750000002</v>
      </c>
      <c r="H78" s="114">
        <f>'Drainage calculator'!H$50*E78</f>
        <v>3.1808625617596657E-3</v>
      </c>
      <c r="I78" s="113">
        <f>G78-H78</f>
        <v>1.0193150124382404</v>
      </c>
      <c r="J78" s="104"/>
      <c r="L78" s="115"/>
      <c r="M78" s="130"/>
    </row>
    <row r="79" spans="1:13" x14ac:dyDescent="0.25">
      <c r="A79" s="104">
        <v>2</v>
      </c>
      <c r="B79" s="110" t="s">
        <v>119</v>
      </c>
      <c r="C79" s="110">
        <f>'Input-Rainfall Data'!I12</f>
        <v>223</v>
      </c>
      <c r="D79" s="113">
        <f>(('Drainage calculator'!F$6*'Drainage calculator'!F$32)+('Drainage calculator'!F$7*'Drainage calculator'!F$33)+('Drainage calculator'!F$9*'Drainage calculator'!F$34))*C79/3600</f>
        <v>14.340665416666667</v>
      </c>
      <c r="E79" s="110">
        <f>2*60</f>
        <v>120</v>
      </c>
      <c r="F79" s="112">
        <f t="shared" ref="F79:F106" si="6">D79*E79</f>
        <v>1720.87985</v>
      </c>
      <c r="G79" s="113">
        <f t="shared" ref="G79:G106" si="7">F79/1000</f>
        <v>1.72087985</v>
      </c>
      <c r="H79" s="114">
        <f>'Drainage calculator'!H$50*E79</f>
        <v>6.3617251235193314E-3</v>
      </c>
      <c r="I79" s="113">
        <f t="shared" ref="I79:I106" si="8">G79-H79</f>
        <v>1.7145181248764807</v>
      </c>
      <c r="J79" s="104"/>
      <c r="L79" s="115"/>
      <c r="M79" s="130"/>
    </row>
    <row r="80" spans="1:13" x14ac:dyDescent="0.25">
      <c r="A80" s="104">
        <v>3</v>
      </c>
      <c r="B80" s="110" t="s">
        <v>120</v>
      </c>
      <c r="C80" s="110">
        <f>'Input-Rainfall Data'!I13</f>
        <v>202</v>
      </c>
      <c r="D80" s="113">
        <f>(('Drainage calculator'!F$6*'Drainage calculator'!F$32)+('Drainage calculator'!F$7*'Drainage calculator'!F$33)+('Drainage calculator'!F$9*'Drainage calculator'!F$34))*C80/3600</f>
        <v>12.990199166666665</v>
      </c>
      <c r="E80" s="110">
        <f>3*60</f>
        <v>180</v>
      </c>
      <c r="F80" s="112">
        <f t="shared" si="6"/>
        <v>2338.2358499999996</v>
      </c>
      <c r="G80" s="113">
        <f t="shared" si="7"/>
        <v>2.3382358499999998</v>
      </c>
      <c r="H80" s="114">
        <f>'Drainage calculator'!H$50*E80</f>
        <v>9.5425876852789967E-3</v>
      </c>
      <c r="I80" s="113">
        <f t="shared" si="8"/>
        <v>2.328693262314721</v>
      </c>
      <c r="J80" s="104"/>
      <c r="L80" s="115"/>
      <c r="M80" s="130"/>
    </row>
    <row r="81" spans="1:13" x14ac:dyDescent="0.25">
      <c r="A81" s="104">
        <v>4</v>
      </c>
      <c r="B81" s="110" t="s">
        <v>121</v>
      </c>
      <c r="C81" s="110">
        <f>'Input-Rainfall Data'!I14</f>
        <v>186</v>
      </c>
      <c r="D81" s="113">
        <f>(('Drainage calculator'!F$6*'Drainage calculator'!F$32)+('Drainage calculator'!F$7*'Drainage calculator'!F$33)+('Drainage calculator'!F$9*'Drainage calculator'!F$34))*C81/3600</f>
        <v>11.9612725</v>
      </c>
      <c r="E81" s="110">
        <f>4*60</f>
        <v>240</v>
      </c>
      <c r="F81" s="112">
        <f t="shared" si="6"/>
        <v>2870.7053999999998</v>
      </c>
      <c r="G81" s="113">
        <f t="shared" si="7"/>
        <v>2.8707053999999999</v>
      </c>
      <c r="H81" s="114">
        <f>'Drainage calculator'!H$50*E81</f>
        <v>1.2723450247038663E-2</v>
      </c>
      <c r="I81" s="113">
        <f t="shared" si="8"/>
        <v>2.8579819497529613</v>
      </c>
      <c r="J81" s="104"/>
      <c r="L81" s="115"/>
      <c r="M81" s="130"/>
    </row>
    <row r="82" spans="1:13" x14ac:dyDescent="0.25">
      <c r="A82" s="104">
        <v>5</v>
      </c>
      <c r="B82" s="110" t="s">
        <v>122</v>
      </c>
      <c r="C82" s="110">
        <f>'Input-Rainfall Data'!I15</f>
        <v>172</v>
      </c>
      <c r="D82" s="113">
        <f>(('Drainage calculator'!F$6*'Drainage calculator'!F$32)+('Drainage calculator'!F$7*'Drainage calculator'!F$33)+('Drainage calculator'!F$9*'Drainage calculator'!F$34))*C82/3600</f>
        <v>11.060961666666666</v>
      </c>
      <c r="E82" s="110">
        <f>5*60</f>
        <v>300</v>
      </c>
      <c r="F82" s="112">
        <f t="shared" si="6"/>
        <v>3318.2884999999997</v>
      </c>
      <c r="G82" s="113">
        <f t="shared" si="7"/>
        <v>3.3182884999999995</v>
      </c>
      <c r="H82" s="114">
        <f>'Drainage calculator'!H$50*E82</f>
        <v>1.5904312808798327E-2</v>
      </c>
      <c r="I82" s="113">
        <f t="shared" si="8"/>
        <v>3.3023841871912012</v>
      </c>
      <c r="J82" s="104"/>
      <c r="L82" s="115"/>
      <c r="M82" s="130"/>
    </row>
    <row r="83" spans="1:13" x14ac:dyDescent="0.25">
      <c r="A83" s="104">
        <v>10</v>
      </c>
      <c r="B83" s="110" t="s">
        <v>123</v>
      </c>
      <c r="C83" s="110">
        <f>'Input-Rainfall Data'!I16</f>
        <v>127</v>
      </c>
      <c r="D83" s="113">
        <f>(('Drainage calculator'!F$6*'Drainage calculator'!F$32)+('Drainage calculator'!F$7*'Drainage calculator'!F$33)+('Drainage calculator'!F$9*'Drainage calculator'!F$34))*C83/3600</f>
        <v>8.1671054166666668</v>
      </c>
      <c r="E83" s="110">
        <f>10*60</f>
        <v>600</v>
      </c>
      <c r="F83" s="112">
        <f t="shared" si="6"/>
        <v>4900.26325</v>
      </c>
      <c r="G83" s="113">
        <f t="shared" si="7"/>
        <v>4.9002632500000001</v>
      </c>
      <c r="H83" s="114">
        <f>'Drainage calculator'!H$50*E83</f>
        <v>3.1808625617596654E-2</v>
      </c>
      <c r="I83" s="113">
        <f t="shared" si="8"/>
        <v>4.8684546243824034</v>
      </c>
      <c r="J83" s="104"/>
      <c r="L83" s="115"/>
      <c r="M83" s="130"/>
    </row>
    <row r="84" spans="1:13" x14ac:dyDescent="0.25">
      <c r="A84" s="104">
        <v>15</v>
      </c>
      <c r="B84" s="110" t="s">
        <v>124</v>
      </c>
      <c r="C84" s="110">
        <f>'Input-Rainfall Data'!I17</f>
        <v>102</v>
      </c>
      <c r="D84" s="113">
        <f>(('Drainage calculator'!F$6*'Drainage calculator'!F$32)+('Drainage calculator'!F$7*'Drainage calculator'!F$33)+('Drainage calculator'!F$9*'Drainage calculator'!F$34))*C84/3600</f>
        <v>6.5594074999999998</v>
      </c>
      <c r="E84" s="110">
        <f>15*60</f>
        <v>900</v>
      </c>
      <c r="F84" s="112">
        <f t="shared" si="6"/>
        <v>5903.4667499999996</v>
      </c>
      <c r="G84" s="113">
        <f t="shared" si="7"/>
        <v>5.9034667499999998</v>
      </c>
      <c r="H84" s="114">
        <f>'Drainage calculator'!H$50*E84</f>
        <v>4.7712938426394985E-2</v>
      </c>
      <c r="I84" s="113">
        <f t="shared" si="8"/>
        <v>5.8557538115736048</v>
      </c>
      <c r="J84" s="104"/>
      <c r="L84" s="115"/>
      <c r="M84" s="130"/>
    </row>
    <row r="85" spans="1:13" x14ac:dyDescent="0.25">
      <c r="A85" s="104">
        <v>20</v>
      </c>
      <c r="B85" s="110" t="s">
        <v>125</v>
      </c>
      <c r="C85" s="110">
        <f>'Input-Rainfall Data'!I18</f>
        <v>85.9</v>
      </c>
      <c r="D85" s="113">
        <f>(('Drainage calculator'!F$6*'Drainage calculator'!F$32)+('Drainage calculator'!F$7*'Drainage calculator'!F$33)+('Drainage calculator'!F$9*'Drainage calculator'!F$34))*C85/3600</f>
        <v>5.5240500416666674</v>
      </c>
      <c r="E85" s="110">
        <f>20*60</f>
        <v>1200</v>
      </c>
      <c r="F85" s="112">
        <f t="shared" si="6"/>
        <v>6628.8600500000011</v>
      </c>
      <c r="G85" s="113">
        <f t="shared" si="7"/>
        <v>6.628860050000001</v>
      </c>
      <c r="H85" s="114">
        <f>'Drainage calculator'!H$50*E85</f>
        <v>6.3617251235193309E-2</v>
      </c>
      <c r="I85" s="113">
        <f t="shared" si="8"/>
        <v>6.5652427987648077</v>
      </c>
      <c r="J85" s="104"/>
      <c r="L85" s="115"/>
      <c r="M85" s="130"/>
    </row>
    <row r="86" spans="1:13" x14ac:dyDescent="0.25">
      <c r="A86" s="104">
        <v>25</v>
      </c>
      <c r="B86" s="110" t="s">
        <v>126</v>
      </c>
      <c r="C86" s="110">
        <f>'Input-Rainfall Data'!I19</f>
        <v>75</v>
      </c>
      <c r="D86" s="113">
        <f>(('Drainage calculator'!F$6*'Drainage calculator'!F$32)+('Drainage calculator'!F$7*'Drainage calculator'!F$33)+('Drainage calculator'!F$9*'Drainage calculator'!F$34))*C86/3600</f>
        <v>4.82309375</v>
      </c>
      <c r="E86" s="110">
        <f>25*60</f>
        <v>1500</v>
      </c>
      <c r="F86" s="112">
        <f t="shared" si="6"/>
        <v>7234.640625</v>
      </c>
      <c r="G86" s="113">
        <f t="shared" si="7"/>
        <v>7.2346406249999999</v>
      </c>
      <c r="H86" s="114">
        <f>'Drainage calculator'!H$50*E86</f>
        <v>7.9521564043991647E-2</v>
      </c>
      <c r="I86" s="113">
        <f t="shared" si="8"/>
        <v>7.1551190609560082</v>
      </c>
      <c r="J86" s="104"/>
      <c r="L86" s="115"/>
      <c r="M86" s="130"/>
    </row>
    <row r="87" spans="1:13" x14ac:dyDescent="0.25">
      <c r="A87" s="104">
        <v>30</v>
      </c>
      <c r="B87" s="110" t="s">
        <v>127</v>
      </c>
      <c r="C87" s="110">
        <f>'Input-Rainfall Data'!I20</f>
        <v>67</v>
      </c>
      <c r="D87" s="113">
        <f>(('Drainage calculator'!F$6*'Drainage calculator'!F$32)+('Drainage calculator'!F$7*'Drainage calculator'!F$33)+('Drainage calculator'!F$9*'Drainage calculator'!F$34))*C87/3600</f>
        <v>4.3086304166666665</v>
      </c>
      <c r="E87" s="110">
        <f>30*60</f>
        <v>1800</v>
      </c>
      <c r="F87" s="112">
        <f t="shared" si="6"/>
        <v>7755.5347499999998</v>
      </c>
      <c r="G87" s="113">
        <f t="shared" si="7"/>
        <v>7.7555347499999998</v>
      </c>
      <c r="H87" s="114">
        <f>'Drainage calculator'!H$50*E87</f>
        <v>9.542587685278997E-2</v>
      </c>
      <c r="I87" s="113">
        <f t="shared" si="8"/>
        <v>7.6601088731472098</v>
      </c>
      <c r="J87" s="104"/>
      <c r="L87" s="115"/>
      <c r="M87" s="130"/>
    </row>
    <row r="88" spans="1:13" x14ac:dyDescent="0.25">
      <c r="A88" s="104">
        <v>45</v>
      </c>
      <c r="B88" s="110" t="s">
        <v>128</v>
      </c>
      <c r="C88" s="110">
        <f>'Input-Rainfall Data'!I21</f>
        <v>52</v>
      </c>
      <c r="D88" s="113">
        <f>(('Drainage calculator'!F$6*'Drainage calculator'!F$32)+('Drainage calculator'!F$7*'Drainage calculator'!F$33)+('Drainage calculator'!F$9*'Drainage calculator'!F$34))*C88/3600</f>
        <v>3.3440116666666664</v>
      </c>
      <c r="E88" s="110">
        <f>45*60</f>
        <v>2700</v>
      </c>
      <c r="F88" s="112">
        <f t="shared" si="6"/>
        <v>9028.8314999999984</v>
      </c>
      <c r="G88" s="113">
        <f t="shared" si="7"/>
        <v>9.028831499999999</v>
      </c>
      <c r="H88" s="114">
        <f>'Drainage calculator'!H$50*E88</f>
        <v>0.14313881527918496</v>
      </c>
      <c r="I88" s="113">
        <f t="shared" si="8"/>
        <v>8.885692684720814</v>
      </c>
      <c r="J88" s="104"/>
      <c r="L88" s="115"/>
      <c r="M88" s="130"/>
    </row>
    <row r="89" spans="1:13" x14ac:dyDescent="0.25">
      <c r="A89" s="119">
        <v>60</v>
      </c>
      <c r="B89" s="120" t="s">
        <v>129</v>
      </c>
      <c r="C89" s="120">
        <f>'Input-Rainfall Data'!I22</f>
        <v>43.4</v>
      </c>
      <c r="D89" s="123">
        <f>(('Drainage calculator'!F$6*'Drainage calculator'!F$32)+('Drainage calculator'!F$7*'Drainage calculator'!F$33)+('Drainage calculator'!F$9*'Drainage calculator'!F$34))*C89/3600</f>
        <v>2.7909635833333333</v>
      </c>
      <c r="E89" s="120">
        <f>60*60</f>
        <v>3600</v>
      </c>
      <c r="F89" s="122">
        <f t="shared" si="6"/>
        <v>10047.4689</v>
      </c>
      <c r="G89" s="123">
        <f t="shared" si="7"/>
        <v>10.0474689</v>
      </c>
      <c r="H89" s="124">
        <f>'Drainage calculator'!H$50*E89</f>
        <v>0.19085175370557994</v>
      </c>
      <c r="I89" s="123">
        <f t="shared" si="8"/>
        <v>9.8566171462944201</v>
      </c>
      <c r="J89" s="104"/>
      <c r="K89" s="116"/>
      <c r="L89" s="115"/>
      <c r="M89" s="130"/>
    </row>
    <row r="90" spans="1:13" x14ac:dyDescent="0.25">
      <c r="A90" s="104">
        <v>90</v>
      </c>
      <c r="B90" s="110" t="s">
        <v>130</v>
      </c>
      <c r="C90" s="110">
        <f>'Input-Rainfall Data'!I23</f>
        <v>33.9</v>
      </c>
      <c r="D90" s="113">
        <f>(('Drainage calculator'!F$6*'Drainage calculator'!F$32)+('Drainage calculator'!F$7*'Drainage calculator'!F$33)+('Drainage calculator'!F$9*'Drainage calculator'!F$34))*C90/3600</f>
        <v>2.1800383750000001</v>
      </c>
      <c r="E90" s="110">
        <f>1.5*3600</f>
        <v>5400</v>
      </c>
      <c r="F90" s="112">
        <f t="shared" si="6"/>
        <v>11772.207225</v>
      </c>
      <c r="G90" s="113">
        <f t="shared" si="7"/>
        <v>11.772207225000001</v>
      </c>
      <c r="H90" s="114">
        <f>'Drainage calculator'!H$50*E90</f>
        <v>0.28627763055836991</v>
      </c>
      <c r="I90" s="113">
        <f t="shared" si="8"/>
        <v>11.485929594441631</v>
      </c>
      <c r="J90" s="104"/>
      <c r="L90" s="115"/>
      <c r="M90" s="130"/>
    </row>
    <row r="91" spans="1:13" x14ac:dyDescent="0.25">
      <c r="A91" s="104">
        <v>120</v>
      </c>
      <c r="B91" s="110" t="s">
        <v>131</v>
      </c>
      <c r="C91" s="110">
        <f>'Input-Rainfall Data'!I24</f>
        <v>28.5</v>
      </c>
      <c r="D91" s="113">
        <f>(('Drainage calculator'!F$6*'Drainage calculator'!F$32)+('Drainage calculator'!F$7*'Drainage calculator'!F$33)+('Drainage calculator'!F$9*'Drainage calculator'!F$34))*C91/3600</f>
        <v>1.832775625</v>
      </c>
      <c r="E91" s="110">
        <f>2*3600</f>
        <v>7200</v>
      </c>
      <c r="F91" s="112">
        <f t="shared" si="6"/>
        <v>13195.9845</v>
      </c>
      <c r="G91" s="113">
        <f t="shared" si="7"/>
        <v>13.1959845</v>
      </c>
      <c r="H91" s="114">
        <f>'Drainage calculator'!H$50*E91</f>
        <v>0.38170350741115988</v>
      </c>
      <c r="I91" s="113">
        <f t="shared" si="8"/>
        <v>12.81428099258884</v>
      </c>
      <c r="J91" s="104"/>
      <c r="L91" s="115"/>
      <c r="M91" s="130"/>
    </row>
    <row r="92" spans="1:13" x14ac:dyDescent="0.25">
      <c r="A92" s="104">
        <v>180</v>
      </c>
      <c r="B92" s="110" t="s">
        <v>132</v>
      </c>
      <c r="C92" s="110">
        <f>'Input-Rainfall Data'!I25</f>
        <v>22.4</v>
      </c>
      <c r="D92" s="113">
        <f>(('Drainage calculator'!F$6*'Drainage calculator'!F$32)+('Drainage calculator'!F$7*'Drainage calculator'!F$33)+('Drainage calculator'!F$9*'Drainage calculator'!F$34))*C92/3600</f>
        <v>1.4404973333333333</v>
      </c>
      <c r="E92" s="110">
        <f>3*3600</f>
        <v>10800</v>
      </c>
      <c r="F92" s="112">
        <f t="shared" si="6"/>
        <v>15557.3712</v>
      </c>
      <c r="G92" s="113">
        <f t="shared" si="7"/>
        <v>15.5573712</v>
      </c>
      <c r="H92" s="114">
        <f>'Drainage calculator'!H$50*E92</f>
        <v>0.57255526111673982</v>
      </c>
      <c r="I92" s="113">
        <f t="shared" si="8"/>
        <v>14.98481593888326</v>
      </c>
      <c r="J92" s="104"/>
      <c r="L92" s="115"/>
      <c r="M92" s="130"/>
    </row>
    <row r="93" spans="1:13" x14ac:dyDescent="0.25">
      <c r="A93" s="104">
        <v>270</v>
      </c>
      <c r="B93" s="110" t="s">
        <v>133</v>
      </c>
      <c r="C93" s="110">
        <f>'Input-Rainfall Data'!I26</f>
        <v>17.7</v>
      </c>
      <c r="D93" s="113">
        <f>(('Drainage calculator'!F$6*'Drainage calculator'!F$32)+('Drainage calculator'!F$7*'Drainage calculator'!F$33)+('Drainage calculator'!F$9*'Drainage calculator'!F$34))*C93/3600</f>
        <v>1.1382501249999999</v>
      </c>
      <c r="E93" s="110">
        <f>4.5*3600</f>
        <v>16200</v>
      </c>
      <c r="F93" s="112">
        <f t="shared" si="6"/>
        <v>18439.652024999999</v>
      </c>
      <c r="G93" s="113">
        <f t="shared" si="7"/>
        <v>18.439652025000001</v>
      </c>
      <c r="H93" s="114">
        <f>'Drainage calculator'!H$50*E93</f>
        <v>0.85883289167510979</v>
      </c>
      <c r="I93" s="113">
        <f t="shared" si="8"/>
        <v>17.580819133324891</v>
      </c>
      <c r="J93" s="104"/>
      <c r="L93" s="115"/>
      <c r="M93" s="130"/>
    </row>
    <row r="94" spans="1:13" x14ac:dyDescent="0.25">
      <c r="A94" s="104">
        <v>360</v>
      </c>
      <c r="B94" s="110" t="s">
        <v>134</v>
      </c>
      <c r="C94" s="110">
        <f>'Input-Rainfall Data'!I27</f>
        <v>14.9</v>
      </c>
      <c r="D94" s="113">
        <f>(('Drainage calculator'!F$6*'Drainage calculator'!F$32)+('Drainage calculator'!F$7*'Drainage calculator'!F$33)+('Drainage calculator'!F$9*'Drainage calculator'!F$34))*C94/3600</f>
        <v>0.95818795833333337</v>
      </c>
      <c r="E94" s="110">
        <f>6*3600</f>
        <v>21600</v>
      </c>
      <c r="F94" s="112">
        <f t="shared" si="6"/>
        <v>20696.859899999999</v>
      </c>
      <c r="G94" s="113">
        <f t="shared" si="7"/>
        <v>20.6968599</v>
      </c>
      <c r="H94" s="114">
        <f>'Drainage calculator'!H$50*E94</f>
        <v>1.1451105222334796</v>
      </c>
      <c r="I94" s="113">
        <f t="shared" si="8"/>
        <v>19.551749377766519</v>
      </c>
      <c r="J94" s="104"/>
      <c r="L94" s="115"/>
      <c r="M94" s="130"/>
    </row>
    <row r="95" spans="1:13" x14ac:dyDescent="0.25">
      <c r="A95" s="104">
        <v>540</v>
      </c>
      <c r="B95" s="110" t="s">
        <v>135</v>
      </c>
      <c r="C95" s="110">
        <f>'Input-Rainfall Data'!I28</f>
        <v>11.6</v>
      </c>
      <c r="D95" s="113">
        <f>(('Drainage calculator'!F$6*'Drainage calculator'!F$32)+('Drainage calculator'!F$7*'Drainage calculator'!F$33)+('Drainage calculator'!F$9*'Drainage calculator'!F$34))*C95/3600</f>
        <v>0.74597183333333328</v>
      </c>
      <c r="E95" s="110">
        <f>9*3600</f>
        <v>32400</v>
      </c>
      <c r="F95" s="112">
        <f t="shared" si="6"/>
        <v>24169.487399999998</v>
      </c>
      <c r="G95" s="113">
        <f t="shared" si="7"/>
        <v>24.169487399999998</v>
      </c>
      <c r="H95" s="114">
        <f>'Drainage calculator'!H$50*E95</f>
        <v>1.7176657833502196</v>
      </c>
      <c r="I95" s="113">
        <f t="shared" si="8"/>
        <v>22.451821616649777</v>
      </c>
      <c r="J95" s="104"/>
      <c r="L95" s="115"/>
      <c r="M95" s="130"/>
    </row>
    <row r="96" spans="1:13" x14ac:dyDescent="0.25">
      <c r="A96" s="104">
        <v>720</v>
      </c>
      <c r="B96" s="110" t="s">
        <v>136</v>
      </c>
      <c r="C96" s="110">
        <f>'Input-Rainfall Data'!I29</f>
        <v>9.58</v>
      </c>
      <c r="D96" s="113">
        <f>(('Drainage calculator'!F$6*'Drainage calculator'!F$32)+('Drainage calculator'!F$7*'Drainage calculator'!F$33)+('Drainage calculator'!F$9*'Drainage calculator'!F$34))*C96/3600</f>
        <v>0.61606984166666667</v>
      </c>
      <c r="E96" s="110">
        <f>12*3600</f>
        <v>43200</v>
      </c>
      <c r="F96" s="112">
        <f t="shared" si="6"/>
        <v>26614.21716</v>
      </c>
      <c r="G96" s="113">
        <f t="shared" si="7"/>
        <v>26.614217159999999</v>
      </c>
      <c r="H96" s="114">
        <f>'Drainage calculator'!H$50*E96</f>
        <v>2.2902210444669593</v>
      </c>
      <c r="I96" s="113">
        <f t="shared" si="8"/>
        <v>24.323996115533038</v>
      </c>
      <c r="J96" s="104"/>
      <c r="L96" s="115"/>
      <c r="M96" s="130"/>
    </row>
    <row r="97" spans="1:13" x14ac:dyDescent="0.25">
      <c r="A97" s="104">
        <v>1080</v>
      </c>
      <c r="B97" s="110" t="s">
        <v>137</v>
      </c>
      <c r="C97" s="110">
        <f>'Input-Rainfall Data'!I30</f>
        <v>7.2</v>
      </c>
      <c r="D97" s="113">
        <f>(('Drainage calculator'!F$6*'Drainage calculator'!F$32)+('Drainage calculator'!F$7*'Drainage calculator'!F$33)+('Drainage calculator'!F$9*'Drainage calculator'!F$34))*C97/3600</f>
        <v>0.46301700000000001</v>
      </c>
      <c r="E97" s="110">
        <f>18*3600</f>
        <v>64800</v>
      </c>
      <c r="F97" s="112">
        <f t="shared" si="6"/>
        <v>30003.5016</v>
      </c>
      <c r="G97" s="113">
        <f t="shared" si="7"/>
        <v>30.0035016</v>
      </c>
      <c r="H97" s="114">
        <f>'Drainage calculator'!H$50*E97</f>
        <v>3.4353315667004392</v>
      </c>
      <c r="I97" s="113">
        <f t="shared" si="8"/>
        <v>26.568170033299559</v>
      </c>
      <c r="J97" s="104"/>
      <c r="L97" s="115"/>
      <c r="M97" s="130"/>
    </row>
    <row r="98" spans="1:13" x14ac:dyDescent="0.25">
      <c r="A98" s="104">
        <v>1440</v>
      </c>
      <c r="B98" s="110" t="s">
        <v>138</v>
      </c>
      <c r="C98" s="110">
        <f>'Input-Rainfall Data'!I31</f>
        <v>5.79</v>
      </c>
      <c r="D98" s="113">
        <f>(('Drainage calculator'!F$6*'Drainage calculator'!F$32)+('Drainage calculator'!F$7*'Drainage calculator'!F$33)+('Drainage calculator'!F$9*'Drainage calculator'!F$34))*C98/3600</f>
        <v>0.37234283750000002</v>
      </c>
      <c r="E98" s="110">
        <f>24*3600</f>
        <v>86400</v>
      </c>
      <c r="F98" s="112">
        <f t="shared" si="6"/>
        <v>32170.421160000002</v>
      </c>
      <c r="G98" s="113">
        <f t="shared" si="7"/>
        <v>32.170421160000004</v>
      </c>
      <c r="H98" s="114">
        <f>'Drainage calculator'!H$50*E98</f>
        <v>4.5804420889339186</v>
      </c>
      <c r="I98" s="113">
        <f t="shared" si="8"/>
        <v>27.589979071066086</v>
      </c>
      <c r="J98" s="104"/>
      <c r="L98" s="115"/>
      <c r="M98" s="130"/>
    </row>
    <row r="99" spans="1:13" x14ac:dyDescent="0.25">
      <c r="A99" s="104">
        <v>1800</v>
      </c>
      <c r="B99" s="110" t="s">
        <v>139</v>
      </c>
      <c r="C99" s="110">
        <f>'Input-Rainfall Data'!I32</f>
        <v>4.8499999999999996</v>
      </c>
      <c r="D99" s="113">
        <f>(('Drainage calculator'!F$6*'Drainage calculator'!F$32)+('Drainage calculator'!F$7*'Drainage calculator'!F$33)+('Drainage calculator'!F$9*'Drainage calculator'!F$34))*C99/3600</f>
        <v>0.31189339583333325</v>
      </c>
      <c r="E99" s="110">
        <f>30*3600</f>
        <v>108000</v>
      </c>
      <c r="F99" s="112">
        <f t="shared" si="6"/>
        <v>33684.486749999989</v>
      </c>
      <c r="G99" s="113">
        <f t="shared" si="7"/>
        <v>33.684486749999991</v>
      </c>
      <c r="H99" s="114">
        <f>'Drainage calculator'!H$50*E99</f>
        <v>5.725552611167398</v>
      </c>
      <c r="I99" s="113">
        <f t="shared" si="8"/>
        <v>27.958934138832593</v>
      </c>
      <c r="J99" s="104"/>
      <c r="L99" s="115"/>
      <c r="M99" s="130"/>
    </row>
    <row r="100" spans="1:13" x14ac:dyDescent="0.25">
      <c r="A100" s="104">
        <v>2160</v>
      </c>
      <c r="B100" s="110" t="s">
        <v>140</v>
      </c>
      <c r="C100" s="110">
        <f>'Input-Rainfall Data'!I33</f>
        <v>4.17</v>
      </c>
      <c r="D100" s="113">
        <f>(('Drainage calculator'!F$6*'Drainage calculator'!F$32)+('Drainage calculator'!F$7*'Drainage calculator'!F$33)+('Drainage calculator'!F$9*'Drainage calculator'!F$34))*C100/3600</f>
        <v>0.26816401249999999</v>
      </c>
      <c r="E100" s="110">
        <f>36*3600</f>
        <v>129600</v>
      </c>
      <c r="F100" s="112">
        <f t="shared" si="6"/>
        <v>34754.056019999996</v>
      </c>
      <c r="G100" s="113">
        <f t="shared" si="7"/>
        <v>34.754056019999993</v>
      </c>
      <c r="H100" s="114">
        <f>'Drainage calculator'!H$50*E100</f>
        <v>6.8706631334008783</v>
      </c>
      <c r="I100" s="113">
        <f t="shared" si="8"/>
        <v>27.883392886599115</v>
      </c>
      <c r="J100" s="104"/>
      <c r="L100" s="115"/>
      <c r="M100" s="130"/>
    </row>
    <row r="101" spans="1:13" x14ac:dyDescent="0.25">
      <c r="A101" s="104">
        <v>2880</v>
      </c>
      <c r="B101" s="110" t="s">
        <v>141</v>
      </c>
      <c r="C101" s="110">
        <f>'Input-Rainfall Data'!I34</f>
        <v>3.27</v>
      </c>
      <c r="D101" s="113">
        <f>(('Drainage calculator'!F$6*'Drainage calculator'!F$32)+('Drainage calculator'!F$7*'Drainage calculator'!F$33)+('Drainage calculator'!F$9*'Drainage calculator'!F$34))*C101/3600</f>
        <v>0.21028688749999999</v>
      </c>
      <c r="E101" s="110">
        <f>48*3600</f>
        <v>172800</v>
      </c>
      <c r="F101" s="112">
        <f t="shared" si="6"/>
        <v>36337.574159999996</v>
      </c>
      <c r="G101" s="113">
        <f t="shared" si="7"/>
        <v>36.337574159999996</v>
      </c>
      <c r="H101" s="114">
        <f>'Drainage calculator'!H$50*E101</f>
        <v>9.1608841778678372</v>
      </c>
      <c r="I101" s="113">
        <f t="shared" si="8"/>
        <v>27.17668998213216</v>
      </c>
      <c r="J101" s="104"/>
      <c r="L101" s="115"/>
      <c r="M101" s="130"/>
    </row>
    <row r="102" spans="1:13" x14ac:dyDescent="0.25">
      <c r="A102" s="104">
        <v>4320</v>
      </c>
      <c r="B102" s="110" t="s">
        <v>142</v>
      </c>
      <c r="C102" s="110">
        <f>'Input-Rainfall Data'!I35</f>
        <v>2.3199999999999998</v>
      </c>
      <c r="D102" s="113">
        <f>(('Drainage calculator'!F$6*'Drainage calculator'!F$32)+('Drainage calculator'!F$7*'Drainage calculator'!F$33)+('Drainage calculator'!F$9*'Drainage calculator'!F$34))*C102/3600</f>
        <v>0.14919436666666666</v>
      </c>
      <c r="E102" s="110">
        <f>72*3600</f>
        <v>259200</v>
      </c>
      <c r="F102" s="112">
        <f t="shared" si="6"/>
        <v>38671.179839999997</v>
      </c>
      <c r="G102" s="113">
        <f t="shared" si="7"/>
        <v>38.671179839999994</v>
      </c>
      <c r="H102" s="114">
        <f>'Drainage calculator'!H$50*E102</f>
        <v>13.741326266801757</v>
      </c>
      <c r="I102" s="113">
        <f t="shared" si="8"/>
        <v>24.929853573198237</v>
      </c>
      <c r="J102" s="104"/>
      <c r="L102" s="115"/>
      <c r="M102" s="130"/>
    </row>
    <row r="103" spans="1:13" x14ac:dyDescent="0.25">
      <c r="A103" s="104">
        <v>5760</v>
      </c>
      <c r="B103" s="110" t="s">
        <v>143</v>
      </c>
      <c r="C103" s="110">
        <f>'Input-Rainfall Data'!I36</f>
        <v>1.85</v>
      </c>
      <c r="D103" s="113">
        <f>(('Drainage calculator'!F$6*'Drainage calculator'!F$32)+('Drainage calculator'!F$7*'Drainage calculator'!F$33)+('Drainage calculator'!F$9*'Drainage calculator'!F$34))*C103/3600</f>
        <v>0.11896964583333333</v>
      </c>
      <c r="E103" s="110">
        <f>96*3600</f>
        <v>345600</v>
      </c>
      <c r="F103" s="112">
        <f t="shared" si="6"/>
        <v>41115.909599999999</v>
      </c>
      <c r="G103" s="113">
        <f t="shared" si="7"/>
        <v>41.115909600000002</v>
      </c>
      <c r="H103" s="114">
        <f>'Drainage calculator'!H$50*E103</f>
        <v>18.321768355735674</v>
      </c>
      <c r="I103" s="113">
        <f t="shared" si="8"/>
        <v>22.794141244264328</v>
      </c>
      <c r="J103" s="104"/>
      <c r="L103" s="115"/>
      <c r="M103" s="130"/>
    </row>
    <row r="104" spans="1:13" x14ac:dyDescent="0.25">
      <c r="A104" s="104">
        <v>7200</v>
      </c>
      <c r="B104" s="110" t="s">
        <v>144</v>
      </c>
      <c r="C104" s="110">
        <f>'Input-Rainfall Data'!I37</f>
        <v>1.58</v>
      </c>
      <c r="D104" s="113">
        <f>(('Drainage calculator'!F$6*'Drainage calculator'!F$32)+('Drainage calculator'!F$7*'Drainage calculator'!F$33)+('Drainage calculator'!F$9*'Drainage calculator'!F$34))*C104/3600</f>
        <v>0.10160650833333333</v>
      </c>
      <c r="E104" s="110">
        <f>120*3600</f>
        <v>432000</v>
      </c>
      <c r="F104" s="112">
        <f t="shared" si="6"/>
        <v>43894.011599999998</v>
      </c>
      <c r="G104" s="113">
        <f t="shared" si="7"/>
        <v>43.894011599999999</v>
      </c>
      <c r="H104" s="114">
        <f>'Drainage calculator'!H$50*E104</f>
        <v>22.902210444669592</v>
      </c>
      <c r="I104" s="113">
        <f t="shared" si="8"/>
        <v>20.991801155330407</v>
      </c>
      <c r="J104" s="104"/>
      <c r="L104" s="115"/>
      <c r="M104" s="130"/>
    </row>
    <row r="105" spans="1:13" x14ac:dyDescent="0.25">
      <c r="A105" s="104">
        <v>8640</v>
      </c>
      <c r="B105" s="110" t="s">
        <v>145</v>
      </c>
      <c r="C105" s="110">
        <f>'Input-Rainfall Data'!I38</f>
        <v>1.42</v>
      </c>
      <c r="D105" s="113">
        <f>(('Drainage calculator'!F$6*'Drainage calculator'!F$32)+('Drainage calculator'!F$7*'Drainage calculator'!F$33)+('Drainage calculator'!F$9*'Drainage calculator'!F$34))*C105/3600</f>
        <v>9.131724166666666E-2</v>
      </c>
      <c r="E105" s="110">
        <f>144*3600</f>
        <v>518400</v>
      </c>
      <c r="F105" s="112">
        <f t="shared" si="6"/>
        <v>47338.858079999998</v>
      </c>
      <c r="G105" s="113">
        <f t="shared" si="7"/>
        <v>47.338858080000001</v>
      </c>
      <c r="H105" s="114">
        <f>'Drainage calculator'!H$50*E105</f>
        <v>27.482652533603513</v>
      </c>
      <c r="I105" s="113">
        <f t="shared" si="8"/>
        <v>19.856205546396488</v>
      </c>
      <c r="J105" s="104"/>
      <c r="L105" s="115"/>
      <c r="M105" s="130"/>
    </row>
    <row r="106" spans="1:13" x14ac:dyDescent="0.25">
      <c r="A106" s="104">
        <v>10080</v>
      </c>
      <c r="B106" s="110" t="s">
        <v>146</v>
      </c>
      <c r="C106" s="110">
        <f>'Input-Rainfall Data'!I39</f>
        <v>1.32</v>
      </c>
      <c r="D106" s="113">
        <f>(('Drainage calculator'!F$6*'Drainage calculator'!F$32)+('Drainage calculator'!F$7*'Drainage calculator'!F$33)+('Drainage calculator'!F$9*'Drainage calculator'!F$34))*C106/3600</f>
        <v>8.4886450000000002E-2</v>
      </c>
      <c r="E106" s="110">
        <f>168*3600</f>
        <v>604800</v>
      </c>
      <c r="F106" s="112">
        <f t="shared" si="6"/>
        <v>51339.324959999998</v>
      </c>
      <c r="G106" s="113">
        <f t="shared" si="7"/>
        <v>51.339324959999999</v>
      </c>
      <c r="H106" s="114">
        <f>'Drainage calculator'!H$50*E106</f>
        <v>32.063094622537434</v>
      </c>
      <c r="I106" s="113">
        <f t="shared" si="8"/>
        <v>19.276230337462565</v>
      </c>
      <c r="J106" s="104"/>
      <c r="L106" s="115"/>
      <c r="M106" s="130"/>
    </row>
    <row r="107" spans="1:13" x14ac:dyDescent="0.25">
      <c r="H107" s="125" t="s">
        <v>213</v>
      </c>
      <c r="I107" s="131">
        <f>MAX(I78:I106)</f>
        <v>27.958934138832593</v>
      </c>
      <c r="J107" s="127" t="s">
        <v>214</v>
      </c>
      <c r="L107" s="117"/>
      <c r="M107" s="117"/>
    </row>
    <row r="108" spans="1:13" x14ac:dyDescent="0.25">
      <c r="H108" s="125" t="s">
        <v>215</v>
      </c>
      <c r="I108" s="125" t="str">
        <f>INDEX(B78:B106, MATCH(I107, I78:I106, 0))</f>
        <v>30 hour</v>
      </c>
      <c r="J108" s="127"/>
      <c r="L108" s="117"/>
      <c r="M108" s="117"/>
    </row>
    <row r="109" spans="1:13" x14ac:dyDescent="0.25">
      <c r="H109" s="125" t="s">
        <v>216</v>
      </c>
      <c r="I109" s="125">
        <f>INDEX(C78:C106, MATCH(I107, I78:I106, 0))</f>
        <v>4.8499999999999996</v>
      </c>
      <c r="J109" s="127"/>
      <c r="L109" s="117"/>
      <c r="M109" s="117"/>
    </row>
    <row r="110" spans="1:13" x14ac:dyDescent="0.25">
      <c r="H110" s="125" t="s">
        <v>217</v>
      </c>
      <c r="I110" s="131">
        <f>INDEX(D78:D106, MATCH(I107, I78:I106, 0))</f>
        <v>0.31189339583333325</v>
      </c>
      <c r="J110" s="127" t="s">
        <v>218</v>
      </c>
      <c r="L110" s="117"/>
      <c r="M110" s="117"/>
    </row>
    <row r="111" spans="1:13" x14ac:dyDescent="0.25">
      <c r="H111" s="125" t="str">
        <f>'Drainage calculator'!F$37 &amp; " Minutes Duration="</f>
        <v>60 Minutes Duration=</v>
      </c>
      <c r="I111" s="131">
        <f>_xlfn.XLOOKUP('Drainage calculator'!F$37,A$78:A$106,I$78:I$106)</f>
        <v>9.8566171462944201</v>
      </c>
      <c r="J111" s="127" t="s">
        <v>214</v>
      </c>
      <c r="L111" s="117"/>
      <c r="M111" s="117"/>
    </row>
    <row r="112" spans="1:13" x14ac:dyDescent="0.25">
      <c r="H112" s="117"/>
      <c r="L112" s="117"/>
      <c r="M112" s="117"/>
    </row>
    <row r="113" spans="2:12" x14ac:dyDescent="0.25">
      <c r="B113" s="132"/>
      <c r="C113" s="132"/>
      <c r="D113" s="132"/>
      <c r="E113" s="132"/>
      <c r="F113" s="132"/>
      <c r="G113" s="132"/>
    </row>
    <row r="114" spans="2:12" x14ac:dyDescent="0.25">
      <c r="B114" s="117"/>
      <c r="C114" s="133"/>
      <c r="D114" s="117"/>
      <c r="E114" s="117"/>
      <c r="F114" s="117"/>
      <c r="G114" s="117"/>
      <c r="H114" s="117"/>
      <c r="I114" s="117"/>
      <c r="L114" s="117"/>
    </row>
    <row r="115" spans="2:12" x14ac:dyDescent="0.25">
      <c r="B115" s="117"/>
      <c r="C115" s="117"/>
      <c r="D115" s="128"/>
      <c r="E115" s="117"/>
      <c r="F115" s="129"/>
      <c r="G115" s="128"/>
      <c r="H115" s="130"/>
      <c r="I115" s="128"/>
      <c r="L115" s="130"/>
    </row>
    <row r="116" spans="2:12" x14ac:dyDescent="0.25">
      <c r="B116" s="117"/>
      <c r="C116" s="117"/>
      <c r="D116" s="128"/>
      <c r="E116" s="117"/>
      <c r="F116" s="129"/>
      <c r="G116" s="128"/>
      <c r="H116" s="130"/>
      <c r="I116" s="128"/>
      <c r="L116" s="130"/>
    </row>
    <row r="117" spans="2:12" x14ac:dyDescent="0.25">
      <c r="B117" s="117"/>
      <c r="C117" s="117"/>
      <c r="D117" s="128"/>
      <c r="E117" s="117"/>
      <c r="F117" s="129"/>
      <c r="G117" s="128"/>
      <c r="H117" s="130"/>
      <c r="I117" s="128"/>
      <c r="L117" s="130"/>
    </row>
    <row r="118" spans="2:12" x14ac:dyDescent="0.25">
      <c r="B118" s="117"/>
      <c r="C118" s="117"/>
      <c r="D118" s="128"/>
      <c r="E118" s="117"/>
      <c r="F118" s="129"/>
      <c r="G118" s="128"/>
      <c r="H118" s="130"/>
      <c r="I118" s="128"/>
      <c r="L118" s="130"/>
    </row>
  </sheetData>
  <sheetProtection algorithmName="SHA-512" hashValue="ZZThrh3lneI6EJYjjTTziETCcy4cJhfWO9KIe4rluXidnYar/PGnLPHOeiKTMfIyT+z5rqJJR7UPOQyhjUcjfA==" saltValue="ww5H82rkTH1YLtMV/gLI4w==" spinCount="100000" sheet="1" objects="1" scenarios="1" selectLockedCells="1" selectUnlockedCells="1"/>
  <mergeCells count="4">
    <mergeCell ref="B1:I1"/>
    <mergeCell ref="B76:I76"/>
    <mergeCell ref="B39:I39"/>
    <mergeCell ref="B2:I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31B8B831AD114E81F542F2E63CF73F" ma:contentTypeVersion="21" ma:contentTypeDescription="Create a new document." ma:contentTypeScope="" ma:versionID="c5ddac47aa1270bfcff9714cfe8f5e1d">
  <xsd:schema xmlns:xsd="http://www.w3.org/2001/XMLSchema" xmlns:xs="http://www.w3.org/2001/XMLSchema" xmlns:p="http://schemas.microsoft.com/office/2006/metadata/properties" xmlns:ns1="http://schemas.microsoft.com/sharepoint/v3" xmlns:ns2="f0df95b7-2dca-4b22-805d-9ceb346f0bf0" xmlns:ns3="62ac4718-e1bf-4e1b-a69e-b95283dadd82" targetNamespace="http://schemas.microsoft.com/office/2006/metadata/properties" ma:root="true" ma:fieldsID="89793c4f6049f2217ccc5b36ea709aca" ns1:_="" ns2:_="" ns3:_="">
    <xsd:import namespace="http://schemas.microsoft.com/sharepoint/v3"/>
    <xsd:import namespace="f0df95b7-2dca-4b22-805d-9ceb346f0bf0"/>
    <xsd:import namespace="62ac4718-e1bf-4e1b-a69e-b95283dadd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df95b7-2dca-4b22-805d-9ceb346f0b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3e208ba-0f78-48c6-9017-12460af6a2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c4718-e1bf-4e1b-a69e-b95283dadd8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fa0ad66-7ee1-4acb-84c4-1f7877951e1d}" ma:internalName="TaxCatchAll" ma:showField="CatchAllData" ma:web="62ac4718-e1bf-4e1b-a69e-b95283dadd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f0df95b7-2dca-4b22-805d-9ceb346f0bf0">
      <Terms xmlns="http://schemas.microsoft.com/office/infopath/2007/PartnerControls"/>
    </lcf76f155ced4ddcb4097134ff3c332f>
    <_ip_UnifiedCompliancePolicyProperties xmlns="http://schemas.microsoft.com/sharepoint/v3" xsi:nil="true"/>
    <TaxCatchAll xmlns="62ac4718-e1bf-4e1b-a69e-b95283dadd8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DCE5D4-F49A-4C3A-BE5C-E10E47020F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0df95b7-2dca-4b22-805d-9ceb346f0bf0"/>
    <ds:schemaRef ds:uri="62ac4718-e1bf-4e1b-a69e-b95283dadd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AE83B09-312E-42E1-9DA7-F2DD8EA4738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0df95b7-2dca-4b22-805d-9ceb346f0bf0"/>
    <ds:schemaRef ds:uri="62ac4718-e1bf-4e1b-a69e-b95283dadd82"/>
  </ds:schemaRefs>
</ds:datastoreItem>
</file>

<file path=customXml/itemProps3.xml><?xml version="1.0" encoding="utf-8"?>
<ds:datastoreItem xmlns:ds="http://schemas.openxmlformats.org/officeDocument/2006/customXml" ds:itemID="{F9E22059-D88E-4F8F-AB3B-30FC3C4222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Drainage calculator</vt:lpstr>
      <vt:lpstr>Input-Rainfall Data</vt:lpstr>
      <vt:lpstr>Design Parameters</vt:lpstr>
      <vt:lpstr>OSD Mass-Curve</vt:lpstr>
      <vt:lpstr>Output-Analysis </vt:lpstr>
      <vt:lpstr>'Drainage calculator'!Print_Area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Marty Mo</dc:creator>
  <cp:keywords/>
  <dc:description/>
  <cp:lastModifiedBy>Danny Nguyen</cp:lastModifiedBy>
  <cp:revision/>
  <dcterms:created xsi:type="dcterms:W3CDTF">2024-08-01T05:17:20Z</dcterms:created>
  <dcterms:modified xsi:type="dcterms:W3CDTF">2025-11-18T06:38:49Z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47414e-80b8-4c08-8295-827998171522_Enabled">
    <vt:lpwstr>true</vt:lpwstr>
  </property>
  <property fmtid="{D5CDD505-2E9C-101B-9397-08002B2CF9AE}" pid="3" name="MSIP_Label_c847414e-80b8-4c08-8295-827998171522_SetDate">
    <vt:lpwstr>2024-08-01T06:10:40Z</vt:lpwstr>
  </property>
  <property fmtid="{D5CDD505-2E9C-101B-9397-08002B2CF9AE}" pid="4" name="MSIP_Label_c847414e-80b8-4c08-8295-827998171522_Method">
    <vt:lpwstr>Standard</vt:lpwstr>
  </property>
  <property fmtid="{D5CDD505-2E9C-101B-9397-08002B2CF9AE}" pid="5" name="MSIP_Label_c847414e-80b8-4c08-8295-827998171522_Name">
    <vt:lpwstr>CoV - Official</vt:lpwstr>
  </property>
  <property fmtid="{D5CDD505-2E9C-101B-9397-08002B2CF9AE}" pid="6" name="MSIP_Label_c847414e-80b8-4c08-8295-827998171522_SiteId">
    <vt:lpwstr>3fa5afdf-64b1-401d-b217-770e86d487cd</vt:lpwstr>
  </property>
  <property fmtid="{D5CDD505-2E9C-101B-9397-08002B2CF9AE}" pid="7" name="MSIP_Label_c847414e-80b8-4c08-8295-827998171522_ActionId">
    <vt:lpwstr>c35e002f-e733-40fe-8347-6a94b28aac52</vt:lpwstr>
  </property>
  <property fmtid="{D5CDD505-2E9C-101B-9397-08002B2CF9AE}" pid="8" name="MSIP_Label_c847414e-80b8-4c08-8295-827998171522_ContentBits">
    <vt:lpwstr>0</vt:lpwstr>
  </property>
  <property fmtid="{D5CDD505-2E9C-101B-9397-08002B2CF9AE}" pid="9" name="ContentTypeId">
    <vt:lpwstr>0x010100A931B8B831AD114E81F542F2E63CF73F</vt:lpwstr>
  </property>
</Properties>
</file>