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fileSharing readOnlyRecommended="1" userName="Danny Nguyen" algorithmName="SHA-512" hashValue="nxp02jS9UAWsg8GiRmuaLMLDmmbCWryvIaVKHty2WomyTDb+mWvzyxPdx2YjISkanlPQF3nEp2DLYgt0WwXZCA==" saltValue="ubgZ6//HEnUG8R0Q6zBBGw==" spinCount="100000"/>
  <workbookPr codeName="ThisWorkbook" defaultThemeVersion="202300"/>
  <mc:AlternateContent xmlns:mc="http://schemas.openxmlformats.org/markup-compatibility/2006">
    <mc:Choice Requires="x15">
      <x15ac:absPath xmlns:x15ac="http://schemas.microsoft.com/office/spreadsheetml/2010/11/ac" url="V:\EngServ\Asset&amp;Design\_Projects\2024-25\Drainage_24-25\Drainage Calculator\Certified Drainage Calculator - use this\Public access\Final\"/>
    </mc:Choice>
  </mc:AlternateContent>
  <xr:revisionPtr revIDLastSave="0" documentId="14_{03B1EB3D-A137-4377-B383-DFD2C28E03B8}" xr6:coauthVersionLast="47" xr6:coauthVersionMax="47" xr10:uidLastSave="{00000000-0000-0000-0000-000000000000}"/>
  <bookViews>
    <workbookView xWindow="-120" yWindow="-120" windowWidth="29040" windowHeight="15720" tabRatio="714" xr2:uid="{F0CEE1EF-1577-49D0-B428-E8BBBDC7E4E0}"/>
  </bookViews>
  <sheets>
    <sheet name="Design calculator" sheetId="7" r:id="rId1"/>
    <sheet name="Input-Rainfall Data" sheetId="9" state="hidden" r:id="rId2"/>
    <sheet name="Design Parameters" sheetId="11" state="hidden" r:id="rId3"/>
    <sheet name="OSD Mass-Curve" sheetId="13" state="hidden" r:id="rId4"/>
    <sheet name="Output-Analysis " sheetId="12" state="hidden" r:id="rId5"/>
  </sheets>
  <definedNames>
    <definedName name="_xlnm.Print_Area" localSheetId="0">'Design calculator'!$A$1:$I$97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5" i="12" l="1"/>
  <c r="C196" i="12"/>
  <c r="C197" i="12"/>
  <c r="C198" i="12"/>
  <c r="C199" i="12"/>
  <c r="C200" i="12"/>
  <c r="C201" i="12"/>
  <c r="C202" i="12"/>
  <c r="C203" i="12"/>
  <c r="C204" i="12"/>
  <c r="C205" i="12"/>
  <c r="C206" i="12"/>
  <c r="C207" i="12"/>
  <c r="C208" i="12"/>
  <c r="C209" i="12"/>
  <c r="C210" i="12"/>
  <c r="C211" i="12"/>
  <c r="C212" i="12"/>
  <c r="C213" i="12"/>
  <c r="C214" i="12"/>
  <c r="C215" i="12"/>
  <c r="C216" i="12"/>
  <c r="C217" i="12"/>
  <c r="C218" i="12"/>
  <c r="C219" i="12"/>
  <c r="C220" i="12"/>
  <c r="C221" i="12"/>
  <c r="C222" i="12"/>
  <c r="C194"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C157" i="12"/>
  <c r="C158" i="12"/>
  <c r="C159" i="12"/>
  <c r="C160" i="12"/>
  <c r="C161" i="12"/>
  <c r="C162" i="12"/>
  <c r="C163" i="12"/>
  <c r="C164" i="12"/>
  <c r="C165" i="12"/>
  <c r="C166" i="12"/>
  <c r="C167" i="12"/>
  <c r="C168" i="12"/>
  <c r="C169" i="12"/>
  <c r="C170" i="12"/>
  <c r="C171" i="12"/>
  <c r="C172" i="12"/>
  <c r="C173" i="12"/>
  <c r="C174" i="12"/>
  <c r="C175" i="12"/>
  <c r="C176" i="12"/>
  <c r="C177" i="12"/>
  <c r="C178" i="12"/>
  <c r="C179" i="12"/>
  <c r="C180" i="12"/>
  <c r="C181" i="12"/>
  <c r="C182" i="12"/>
  <c r="C183" i="12"/>
  <c r="C184" i="12"/>
  <c r="C156"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C117" i="12"/>
  <c r="C118" i="12"/>
  <c r="C119" i="12"/>
  <c r="C120" i="12"/>
  <c r="C121" i="12"/>
  <c r="C122" i="12"/>
  <c r="C123" i="12"/>
  <c r="C124" i="12"/>
  <c r="C125" i="12"/>
  <c r="C126" i="12"/>
  <c r="C127" i="12"/>
  <c r="C128" i="12"/>
  <c r="C129" i="12"/>
  <c r="C130" i="12"/>
  <c r="C131" i="12"/>
  <c r="C132" i="12"/>
  <c r="C133" i="12"/>
  <c r="C134" i="12"/>
  <c r="C135" i="12"/>
  <c r="C136" i="12"/>
  <c r="C137" i="12"/>
  <c r="C138" i="12"/>
  <c r="C139" i="12"/>
  <c r="C140" i="12"/>
  <c r="C141" i="12"/>
  <c r="C142" i="12"/>
  <c r="C143" i="12"/>
  <c r="C144" i="12"/>
  <c r="C145"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F27" i="7" a="1"/>
  <c r="F27" i="7" s="1"/>
  <c r="B2" i="9"/>
  <c r="G47" i="7" l="1"/>
  <c r="G49" i="7"/>
  <c r="G48" i="7"/>
  <c r="G57" i="7"/>
  <c r="G58" i="7"/>
  <c r="G56" i="7"/>
  <c r="G59" i="7" l="1"/>
  <c r="F74" i="7" s="1"/>
  <c r="F37" i="7" l="1"/>
  <c r="H189" i="12" l="1"/>
  <c r="H150" i="12"/>
  <c r="H227" i="12"/>
  <c r="H37" i="12"/>
  <c r="H74" i="12"/>
  <c r="F38" i="7"/>
  <c r="A80" i="7"/>
  <c r="H111" i="12"/>
  <c r="C5" i="12" l="1"/>
  <c r="C6" i="12"/>
  <c r="C7" i="12"/>
  <c r="C8" i="12"/>
  <c r="C9" i="12"/>
  <c r="C10" i="12"/>
  <c r="C11" i="12"/>
  <c r="C12" i="12"/>
  <c r="C13" i="12"/>
  <c r="C14" i="12"/>
  <c r="C15" i="12"/>
  <c r="C16" i="12"/>
  <c r="C17" i="12"/>
  <c r="C18" i="12"/>
  <c r="C19" i="12"/>
  <c r="C20" i="12"/>
  <c r="C21" i="12"/>
  <c r="C22" i="12"/>
  <c r="C23" i="12"/>
  <c r="C24" i="12"/>
  <c r="C25" i="12"/>
  <c r="C26" i="12"/>
  <c r="C27" i="12"/>
  <c r="C28" i="12"/>
  <c r="C29" i="12"/>
  <c r="C30" i="12"/>
  <c r="C31" i="12"/>
  <c r="C32" i="12"/>
  <c r="C4" i="12"/>
  <c r="E32" i="12"/>
  <c r="E31" i="12"/>
  <c r="E30" i="12"/>
  <c r="E29" i="12"/>
  <c r="E28" i="12"/>
  <c r="E27" i="12"/>
  <c r="E26" i="12"/>
  <c r="E25" i="12"/>
  <c r="E24" i="12"/>
  <c r="E23" i="12"/>
  <c r="E22" i="12"/>
  <c r="E21" i="12"/>
  <c r="E20" i="12"/>
  <c r="E19" i="12"/>
  <c r="E18" i="12"/>
  <c r="E17" i="12"/>
  <c r="E16" i="12"/>
  <c r="E15" i="12"/>
  <c r="E14" i="12"/>
  <c r="E13" i="12"/>
  <c r="E12" i="12"/>
  <c r="E11" i="12"/>
  <c r="E10" i="12"/>
  <c r="E9" i="12"/>
  <c r="E8" i="12"/>
  <c r="E7" i="12"/>
  <c r="E6" i="12"/>
  <c r="E5" i="12"/>
  <c r="E4" i="12"/>
  <c r="B2" i="13"/>
  <c r="B10" i="13" s="1" a="1"/>
  <c r="B10" i="13" s="1"/>
  <c r="B1" i="13"/>
  <c r="H8" i="13"/>
  <c r="H9" i="13"/>
  <c r="H10" i="13"/>
  <c r="H11" i="13"/>
  <c r="H12" i="13"/>
  <c r="H13" i="13"/>
  <c r="H14" i="13"/>
  <c r="H15" i="13"/>
  <c r="H16" i="13"/>
  <c r="H17" i="13"/>
  <c r="H18" i="13"/>
  <c r="H19" i="13"/>
  <c r="H20" i="13"/>
  <c r="H21" i="13"/>
  <c r="H22" i="13"/>
  <c r="H23" i="13"/>
  <c r="H24" i="13"/>
  <c r="H25" i="13"/>
  <c r="H26" i="13"/>
  <c r="H27" i="13"/>
  <c r="H28" i="13"/>
  <c r="H29" i="13"/>
  <c r="H30" i="13"/>
  <c r="H31" i="13"/>
  <c r="H32" i="13"/>
  <c r="H33" i="13"/>
  <c r="H34" i="13"/>
  <c r="H35" i="13"/>
  <c r="H36" i="13"/>
  <c r="H37" i="13"/>
  <c r="H38" i="13"/>
  <c r="H39" i="13"/>
  <c r="H40" i="13"/>
  <c r="H41" i="13"/>
  <c r="H42" i="13"/>
  <c r="H43" i="13"/>
  <c r="H44" i="13"/>
  <c r="H45" i="13"/>
  <c r="H46" i="13"/>
  <c r="H47" i="13"/>
  <c r="H48" i="13"/>
  <c r="H49" i="13"/>
  <c r="H50" i="13"/>
  <c r="H51" i="13"/>
  <c r="H52" i="13"/>
  <c r="H53" i="13"/>
  <c r="H54" i="13"/>
  <c r="H55" i="13"/>
  <c r="H56" i="13"/>
  <c r="H57" i="13"/>
  <c r="H58" i="13"/>
  <c r="H59" i="13"/>
  <c r="H60" i="13"/>
  <c r="H61" i="13"/>
  <c r="H62" i="13"/>
  <c r="H63" i="13"/>
  <c r="H64" i="13"/>
  <c r="H65" i="13"/>
  <c r="H66" i="13"/>
  <c r="H67" i="13"/>
  <c r="H68" i="13"/>
  <c r="H69" i="13"/>
  <c r="H70" i="13"/>
  <c r="H71" i="13"/>
  <c r="H72" i="13"/>
  <c r="H73" i="13"/>
  <c r="H74" i="13"/>
  <c r="H75" i="13"/>
  <c r="H7" i="13"/>
  <c r="G8"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3"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 i="13"/>
  <c r="A8" i="13"/>
  <c r="A9" i="13"/>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2" i="13"/>
  <c r="A73" i="13"/>
  <c r="A74" i="13"/>
  <c r="A75" i="13"/>
  <c r="A7" i="13"/>
  <c r="B3" i="13"/>
  <c r="V74" i="9"/>
  <c r="U74" i="9"/>
  <c r="T74" i="9"/>
  <c r="S74" i="9"/>
  <c r="R74" i="9"/>
  <c r="V68" i="9"/>
  <c r="V69" i="9" s="1"/>
  <c r="V70" i="9" s="1"/>
  <c r="V71" i="9" s="1"/>
  <c r="V72" i="9" s="1"/>
  <c r="V73" i="9" s="1"/>
  <c r="U68" i="9"/>
  <c r="U69" i="9" s="1"/>
  <c r="U70" i="9" s="1"/>
  <c r="U71" i="9" s="1"/>
  <c r="U72" i="9" s="1"/>
  <c r="U73" i="9" s="1"/>
  <c r="T68" i="9"/>
  <c r="T69" i="9" s="1"/>
  <c r="T70" i="9" s="1"/>
  <c r="T71" i="9" s="1"/>
  <c r="T72" i="9" s="1"/>
  <c r="T73" i="9" s="1"/>
  <c r="S68" i="9"/>
  <c r="S69" i="9" s="1"/>
  <c r="S70" i="9" s="1"/>
  <c r="S71" i="9" s="1"/>
  <c r="S72" i="9" s="1"/>
  <c r="S73" i="9" s="1"/>
  <c r="R68" i="9"/>
  <c r="R69" i="9" s="1"/>
  <c r="R70" i="9" s="1"/>
  <c r="R71" i="9" s="1"/>
  <c r="R72" i="9" s="1"/>
  <c r="R73" i="9" s="1"/>
  <c r="S60" i="9"/>
  <c r="S61" i="9" s="1"/>
  <c r="T60" i="9"/>
  <c r="T61" i="9" s="1"/>
  <c r="U60" i="9"/>
  <c r="U61" i="9" s="1"/>
  <c r="V62" i="9"/>
  <c r="U62" i="9"/>
  <c r="T62" i="9"/>
  <c r="S62" i="9"/>
  <c r="R62" i="9"/>
  <c r="V59" i="9"/>
  <c r="V60" i="9" s="1"/>
  <c r="V61" i="9" s="1"/>
  <c r="U59" i="9"/>
  <c r="T59" i="9"/>
  <c r="S59" i="9"/>
  <c r="R59" i="9"/>
  <c r="R60" i="9" s="1"/>
  <c r="R61" i="9" s="1"/>
  <c r="V56" i="9"/>
  <c r="V57" i="9" s="1"/>
  <c r="V58" i="9" s="1"/>
  <c r="U56" i="9"/>
  <c r="U57" i="9" s="1"/>
  <c r="U58" i="9" s="1"/>
  <c r="T56" i="9"/>
  <c r="S56" i="9"/>
  <c r="R56" i="9"/>
  <c r="R57" i="9" s="1"/>
  <c r="R58" i="9" s="1"/>
  <c r="V46" i="9"/>
  <c r="V47" i="9" s="1"/>
  <c r="V48" i="9" s="1"/>
  <c r="V49" i="9" s="1"/>
  <c r="V50" i="9" s="1"/>
  <c r="V51" i="9" s="1"/>
  <c r="V52" i="9" s="1"/>
  <c r="V53" i="9" s="1"/>
  <c r="V54" i="9" s="1"/>
  <c r="V55" i="9" s="1"/>
  <c r="U46" i="9"/>
  <c r="U37" i="9" s="1"/>
  <c r="U38" i="9" s="1"/>
  <c r="U39" i="9" s="1"/>
  <c r="U40" i="9" s="1"/>
  <c r="U41" i="9" s="1"/>
  <c r="U42" i="9" s="1"/>
  <c r="U43" i="9" s="1"/>
  <c r="U44" i="9" s="1"/>
  <c r="U45" i="9" s="1"/>
  <c r="T46" i="9"/>
  <c r="T37" i="9" s="1"/>
  <c r="T38" i="9" s="1"/>
  <c r="T39" i="9" s="1"/>
  <c r="T40" i="9" s="1"/>
  <c r="T41" i="9" s="1"/>
  <c r="T42" i="9" s="1"/>
  <c r="T43" i="9" s="1"/>
  <c r="T44" i="9" s="1"/>
  <c r="T45" i="9" s="1"/>
  <c r="S46" i="9"/>
  <c r="R46" i="9"/>
  <c r="V36" i="9"/>
  <c r="U36" i="9"/>
  <c r="T36" i="9"/>
  <c r="S36" i="9"/>
  <c r="R36" i="9"/>
  <c r="V26" i="9"/>
  <c r="V27" i="9" s="1"/>
  <c r="V28" i="9" s="1"/>
  <c r="V29" i="9" s="1"/>
  <c r="V30" i="9" s="1"/>
  <c r="V31" i="9" s="1"/>
  <c r="V32" i="9" s="1"/>
  <c r="V33" i="9" s="1"/>
  <c r="V34" i="9" s="1"/>
  <c r="V35" i="9" s="1"/>
  <c r="U26" i="9"/>
  <c r="U27" i="9" s="1"/>
  <c r="U28" i="9" s="1"/>
  <c r="U29" i="9" s="1"/>
  <c r="U30" i="9" s="1"/>
  <c r="U31" i="9" s="1"/>
  <c r="U32" i="9" s="1"/>
  <c r="U33" i="9" s="1"/>
  <c r="U34" i="9" s="1"/>
  <c r="U35" i="9" s="1"/>
  <c r="T26" i="9"/>
  <c r="T27" i="9" s="1"/>
  <c r="T28" i="9" s="1"/>
  <c r="T29" i="9" s="1"/>
  <c r="T30" i="9" s="1"/>
  <c r="T31" i="9" s="1"/>
  <c r="T32" i="9" s="1"/>
  <c r="T33" i="9" s="1"/>
  <c r="T34" i="9" s="1"/>
  <c r="T35" i="9" s="1"/>
  <c r="S26" i="9"/>
  <c r="S27" i="9" s="1"/>
  <c r="S28" i="9" s="1"/>
  <c r="S29" i="9" s="1"/>
  <c r="S30" i="9" s="1"/>
  <c r="S31" i="9" s="1"/>
  <c r="S32" i="9" s="1"/>
  <c r="S33" i="9" s="1"/>
  <c r="S34" i="9" s="1"/>
  <c r="S35" i="9" s="1"/>
  <c r="R26" i="9"/>
  <c r="S7" i="9"/>
  <c r="S8" i="9" s="1"/>
  <c r="S9" i="9" s="1"/>
  <c r="S10" i="9" s="1"/>
  <c r="S11" i="9" s="1"/>
  <c r="S12" i="9" s="1"/>
  <c r="S13" i="9" s="1"/>
  <c r="S14" i="9" s="1"/>
  <c r="S15" i="9" s="1"/>
  <c r="S16" i="9"/>
  <c r="T16" i="9"/>
  <c r="T7" i="9" s="1"/>
  <c r="T8" i="9" s="1"/>
  <c r="T9" i="9" s="1"/>
  <c r="T10" i="9" s="1"/>
  <c r="T11" i="9" s="1"/>
  <c r="T12" i="9" s="1"/>
  <c r="T13" i="9" s="1"/>
  <c r="T14" i="9" s="1"/>
  <c r="T15" i="9" s="1"/>
  <c r="U16" i="9"/>
  <c r="V16" i="9"/>
  <c r="R16" i="9"/>
  <c r="V6" i="9"/>
  <c r="V7" i="9" s="1"/>
  <c r="V8" i="9" s="1"/>
  <c r="V9" i="9" s="1"/>
  <c r="V10" i="9" s="1"/>
  <c r="V11" i="9" s="1"/>
  <c r="V12" i="9" s="1"/>
  <c r="V13" i="9" s="1"/>
  <c r="V14" i="9" s="1"/>
  <c r="V15" i="9" s="1"/>
  <c r="U6" i="9"/>
  <c r="U7" i="9" s="1"/>
  <c r="U8" i="9" s="1"/>
  <c r="U9" i="9" s="1"/>
  <c r="U10" i="9" s="1"/>
  <c r="U11" i="9" s="1"/>
  <c r="U12" i="9" s="1"/>
  <c r="U13" i="9" s="1"/>
  <c r="U14" i="9" s="1"/>
  <c r="U15" i="9" s="1"/>
  <c r="T6" i="9"/>
  <c r="S6" i="9"/>
  <c r="R6" i="9"/>
  <c r="F69" i="13" l="1"/>
  <c r="F9" i="13"/>
  <c r="F28" i="7"/>
  <c r="F39" i="7"/>
  <c r="B41" i="13" a="1"/>
  <c r="B41" i="13" s="1"/>
  <c r="B61" i="13" a="1"/>
  <c r="B61" i="13" s="1"/>
  <c r="B52" i="13" a="1"/>
  <c r="B52" i="13" s="1"/>
  <c r="B42" i="13" a="1"/>
  <c r="B42" i="13" s="1"/>
  <c r="B72" i="13" a="1"/>
  <c r="B72" i="13" s="1"/>
  <c r="F50" i="13"/>
  <c r="F45" i="13"/>
  <c r="F62" i="13"/>
  <c r="B54" i="13" a="1"/>
  <c r="B54" i="13" s="1"/>
  <c r="B73" i="13" a="1"/>
  <c r="B73" i="13" s="1"/>
  <c r="B53" i="13" a="1"/>
  <c r="B53" i="13" s="1"/>
  <c r="B55" i="13" a="1"/>
  <c r="B55" i="13" s="1"/>
  <c r="F21" i="13"/>
  <c r="B28" i="13" a="1"/>
  <c r="B28" i="13" s="1"/>
  <c r="F57" i="13"/>
  <c r="F74" i="13"/>
  <c r="B48" i="13" a="1"/>
  <c r="B48" i="13" s="1"/>
  <c r="F33" i="13"/>
  <c r="F38" i="13"/>
  <c r="F55" i="13"/>
  <c r="F31" i="13"/>
  <c r="F65" i="13"/>
  <c r="F53" i="13"/>
  <c r="F41" i="13"/>
  <c r="F29" i="13"/>
  <c r="F17" i="13"/>
  <c r="F67" i="13"/>
  <c r="F43" i="13"/>
  <c r="F19" i="13"/>
  <c r="F26" i="13"/>
  <c r="F14" i="13"/>
  <c r="F73" i="13"/>
  <c r="F61" i="13"/>
  <c r="F49" i="13"/>
  <c r="F37" i="13"/>
  <c r="F25" i="13"/>
  <c r="F13" i="13"/>
  <c r="F72" i="13"/>
  <c r="F60" i="13"/>
  <c r="F48" i="13"/>
  <c r="F36" i="13"/>
  <c r="F24" i="13"/>
  <c r="F12" i="13"/>
  <c r="F71" i="13"/>
  <c r="F59" i="13"/>
  <c r="F47" i="13"/>
  <c r="F35" i="13"/>
  <c r="F23" i="13"/>
  <c r="F11" i="13"/>
  <c r="F8" i="13"/>
  <c r="F66" i="13"/>
  <c r="F54" i="13"/>
  <c r="F42" i="13"/>
  <c r="F30" i="13"/>
  <c r="F18" i="13"/>
  <c r="F75" i="13"/>
  <c r="F63" i="13"/>
  <c r="F51" i="13"/>
  <c r="F39" i="13"/>
  <c r="F27" i="13"/>
  <c r="F15" i="13"/>
  <c r="F7" i="13"/>
  <c r="F64" i="13"/>
  <c r="F52" i="13"/>
  <c r="F40" i="13"/>
  <c r="F28" i="13"/>
  <c r="F16" i="13"/>
  <c r="F70" i="13"/>
  <c r="F58" i="13"/>
  <c r="F46" i="13"/>
  <c r="F34" i="13"/>
  <c r="F22" i="13"/>
  <c r="F10" i="13"/>
  <c r="F68" i="13"/>
  <c r="F56" i="13"/>
  <c r="F44" i="13"/>
  <c r="F32" i="13"/>
  <c r="F20" i="13"/>
  <c r="B37" i="13" a="1"/>
  <c r="B37" i="13" s="1"/>
  <c r="B25" i="13" a="1"/>
  <c r="B25" i="13" s="1"/>
  <c r="B62" i="13" a="1"/>
  <c r="B62" i="13" s="1"/>
  <c r="B14" i="13" a="1"/>
  <c r="B14" i="13" s="1"/>
  <c r="B35" i="13" a="1"/>
  <c r="B35" i="13" s="1"/>
  <c r="B34" i="13" a="1"/>
  <c r="B34" i="13" s="1"/>
  <c r="B22" i="13" a="1"/>
  <c r="B22" i="13" s="1"/>
  <c r="B57" i="13" a="1"/>
  <c r="B57" i="13" s="1"/>
  <c r="B33" i="13" a="1"/>
  <c r="B33" i="13" s="1"/>
  <c r="B21" i="13" a="1"/>
  <c r="B21" i="13" s="1"/>
  <c r="B9" i="13" a="1"/>
  <c r="B9" i="13" s="1"/>
  <c r="B68" i="13" a="1"/>
  <c r="B68" i="13" s="1"/>
  <c r="B32" i="13" a="1"/>
  <c r="B32" i="13" s="1"/>
  <c r="B75" i="13" a="1"/>
  <c r="B75" i="13" s="1"/>
  <c r="B15" i="13" a="1"/>
  <c r="B15" i="13" s="1"/>
  <c r="B7" i="13" a="1"/>
  <c r="B7" i="13" s="1"/>
  <c r="B56" i="13" a="1"/>
  <c r="B56" i="13" s="1"/>
  <c r="B36" i="13" a="1"/>
  <c r="B36" i="13" s="1"/>
  <c r="B16" i="13" a="1"/>
  <c r="B16" i="13" s="1"/>
  <c r="B47" i="13" a="1"/>
  <c r="B47" i="13" s="1"/>
  <c r="B69" i="13" a="1"/>
  <c r="B69" i="13" s="1"/>
  <c r="B64" i="13" a="1"/>
  <c r="B64" i="13" s="1"/>
  <c r="B44" i="13" a="1"/>
  <c r="B44" i="13" s="1"/>
  <c r="B24" i="13" a="1"/>
  <c r="B24" i="13" s="1"/>
  <c r="B63" i="13" a="1"/>
  <c r="B63" i="13" s="1"/>
  <c r="B43" i="13" a="1"/>
  <c r="B43" i="13" s="1"/>
  <c r="B23" i="13" a="1"/>
  <c r="B23" i="13" s="1"/>
  <c r="B12" i="13" a="1"/>
  <c r="B12" i="13" s="1"/>
  <c r="B50" i="13" a="1"/>
  <c r="B50" i="13" s="1"/>
  <c r="B5" i="13"/>
  <c r="B13" i="13" a="1"/>
  <c r="B13" i="13" s="1"/>
  <c r="B60" i="13" a="1"/>
  <c r="B60" i="13" s="1"/>
  <c r="B11" i="13" a="1"/>
  <c r="B11" i="13" s="1"/>
  <c r="B65" i="13" a="1"/>
  <c r="B65" i="13" s="1"/>
  <c r="B45" i="13" a="1"/>
  <c r="B45" i="13" s="1"/>
  <c r="B49" i="13" a="1"/>
  <c r="B49" i="13" s="1"/>
  <c r="B74" i="13" a="1"/>
  <c r="B74" i="13" s="1"/>
  <c r="B59" i="13" a="1"/>
  <c r="B59" i="13" s="1"/>
  <c r="B39" i="13" a="1"/>
  <c r="B39" i="13" s="1"/>
  <c r="B58" i="13" a="1"/>
  <c r="B58" i="13" s="1"/>
  <c r="B71" i="13" a="1"/>
  <c r="B71" i="13" s="1"/>
  <c r="B51" i="13" a="1"/>
  <c r="B51" i="13" s="1"/>
  <c r="B70" i="13" a="1"/>
  <c r="B70" i="13" s="1"/>
  <c r="B30" i="13" a="1"/>
  <c r="B30" i="13" s="1"/>
  <c r="B31" i="13" a="1"/>
  <c r="B31" i="13" s="1"/>
  <c r="B19" i="13" a="1"/>
  <c r="B19" i="13" s="1"/>
  <c r="B38" i="13" a="1"/>
  <c r="B38" i="13" s="1"/>
  <c r="B17" i="13" a="1"/>
  <c r="B17" i="13" s="1"/>
  <c r="B18" i="13" a="1"/>
  <c r="B18" i="13" s="1"/>
  <c r="B40" i="13" a="1"/>
  <c r="B40" i="13" s="1"/>
  <c r="B20" i="13" a="1"/>
  <c r="B20" i="13" s="1"/>
  <c r="B46" i="13" a="1"/>
  <c r="B46" i="13" s="1"/>
  <c r="B67" i="13" a="1"/>
  <c r="B67" i="13" s="1"/>
  <c r="B29" i="13" a="1"/>
  <c r="B29" i="13" s="1"/>
  <c r="B66" i="13" a="1"/>
  <c r="B66" i="13" s="1"/>
  <c r="B8" i="13" a="1"/>
  <c r="B8" i="13" s="1"/>
  <c r="B27" i="13" a="1"/>
  <c r="B27" i="13" s="1"/>
  <c r="B26" i="13" a="1"/>
  <c r="B26" i="13" s="1"/>
  <c r="T63" i="9"/>
  <c r="T64" i="9" s="1"/>
  <c r="T65" i="9" s="1"/>
  <c r="T66" i="9" s="1"/>
  <c r="T67" i="9" s="1"/>
  <c r="U63" i="9"/>
  <c r="U64" i="9" s="1"/>
  <c r="U65" i="9" s="1"/>
  <c r="U66" i="9" s="1"/>
  <c r="U67" i="9" s="1"/>
  <c r="R63" i="9"/>
  <c r="R64" i="9" s="1"/>
  <c r="R65" i="9" s="1"/>
  <c r="R66" i="9" s="1"/>
  <c r="R67" i="9" s="1"/>
  <c r="R7" i="9"/>
  <c r="R8" i="9" s="1"/>
  <c r="R9" i="9" s="1"/>
  <c r="R10" i="9" s="1"/>
  <c r="R11" i="9" s="1"/>
  <c r="R12" i="9" s="1"/>
  <c r="R13" i="9" s="1"/>
  <c r="R14" i="9" s="1"/>
  <c r="R15" i="9" s="1"/>
  <c r="R17" i="9"/>
  <c r="R18" i="9" s="1"/>
  <c r="R19" i="9" s="1"/>
  <c r="R20" i="9" s="1"/>
  <c r="R21" i="9" s="1"/>
  <c r="R22" i="9" s="1"/>
  <c r="R23" i="9" s="1"/>
  <c r="R24" i="9" s="1"/>
  <c r="R25" i="9" s="1"/>
  <c r="S63" i="9"/>
  <c r="S64" i="9" s="1"/>
  <c r="S65" i="9" s="1"/>
  <c r="S66" i="9" s="1"/>
  <c r="S67" i="9" s="1"/>
  <c r="V63" i="9"/>
  <c r="V64" i="9" s="1"/>
  <c r="V65" i="9" s="1"/>
  <c r="V66" i="9" s="1"/>
  <c r="V67" i="9" s="1"/>
  <c r="T17" i="9"/>
  <c r="T18" i="9" s="1"/>
  <c r="T19" i="9" s="1"/>
  <c r="T20" i="9" s="1"/>
  <c r="T21" i="9" s="1"/>
  <c r="T22" i="9" s="1"/>
  <c r="T23" i="9" s="1"/>
  <c r="T24" i="9" s="1"/>
  <c r="T25" i="9" s="1"/>
  <c r="S17" i="9"/>
  <c r="S18" i="9" s="1"/>
  <c r="S19" i="9" s="1"/>
  <c r="S20" i="9" s="1"/>
  <c r="S21" i="9" s="1"/>
  <c r="S22" i="9" s="1"/>
  <c r="S23" i="9" s="1"/>
  <c r="S24" i="9" s="1"/>
  <c r="S25" i="9" s="1"/>
  <c r="S57" i="9"/>
  <c r="S58" i="9" s="1"/>
  <c r="R27" i="9"/>
  <c r="R28" i="9" s="1"/>
  <c r="R29" i="9" s="1"/>
  <c r="R30" i="9" s="1"/>
  <c r="R31" i="9" s="1"/>
  <c r="R32" i="9" s="1"/>
  <c r="R33" i="9" s="1"/>
  <c r="R34" i="9" s="1"/>
  <c r="R35" i="9" s="1"/>
  <c r="T57" i="9"/>
  <c r="T58" i="9" s="1"/>
  <c r="V37" i="9"/>
  <c r="V38" i="9" s="1"/>
  <c r="V39" i="9" s="1"/>
  <c r="V40" i="9" s="1"/>
  <c r="V41" i="9" s="1"/>
  <c r="V42" i="9" s="1"/>
  <c r="V43" i="9" s="1"/>
  <c r="V44" i="9" s="1"/>
  <c r="V45" i="9" s="1"/>
  <c r="R37" i="9"/>
  <c r="R38" i="9" s="1"/>
  <c r="R39" i="9" s="1"/>
  <c r="R40" i="9" s="1"/>
  <c r="R41" i="9" s="1"/>
  <c r="R42" i="9" s="1"/>
  <c r="R43" i="9" s="1"/>
  <c r="R44" i="9" s="1"/>
  <c r="R45" i="9" s="1"/>
  <c r="S37" i="9"/>
  <c r="S38" i="9" s="1"/>
  <c r="S39" i="9" s="1"/>
  <c r="S40" i="9" s="1"/>
  <c r="S41" i="9" s="1"/>
  <c r="S42" i="9" s="1"/>
  <c r="S43" i="9" s="1"/>
  <c r="S44" i="9" s="1"/>
  <c r="S45" i="9" s="1"/>
  <c r="R47" i="9"/>
  <c r="R48" i="9" s="1"/>
  <c r="R49" i="9" s="1"/>
  <c r="R50" i="9" s="1"/>
  <c r="R51" i="9" s="1"/>
  <c r="R52" i="9" s="1"/>
  <c r="R53" i="9" s="1"/>
  <c r="R54" i="9" s="1"/>
  <c r="R55" i="9" s="1"/>
  <c r="V17" i="9"/>
  <c r="V18" i="9" s="1"/>
  <c r="V19" i="9" s="1"/>
  <c r="V20" i="9" s="1"/>
  <c r="V21" i="9" s="1"/>
  <c r="V22" i="9" s="1"/>
  <c r="V23" i="9" s="1"/>
  <c r="V24" i="9" s="1"/>
  <c r="V25" i="9" s="1"/>
  <c r="U17" i="9"/>
  <c r="U18" i="9" s="1"/>
  <c r="U19" i="9" s="1"/>
  <c r="U20" i="9" s="1"/>
  <c r="U21" i="9" s="1"/>
  <c r="U22" i="9" s="1"/>
  <c r="U23" i="9" s="1"/>
  <c r="U24" i="9" s="1"/>
  <c r="U25" i="9" s="1"/>
  <c r="U47" i="9"/>
  <c r="U48" i="9" s="1"/>
  <c r="U49" i="9" s="1"/>
  <c r="U50" i="9" s="1"/>
  <c r="U51" i="9" s="1"/>
  <c r="U52" i="9" s="1"/>
  <c r="U53" i="9" s="1"/>
  <c r="U54" i="9" s="1"/>
  <c r="U55" i="9" s="1"/>
  <c r="T47" i="9"/>
  <c r="T48" i="9" s="1"/>
  <c r="T49" i="9" s="1"/>
  <c r="T50" i="9" s="1"/>
  <c r="T51" i="9" s="1"/>
  <c r="T52" i="9" s="1"/>
  <c r="T53" i="9" s="1"/>
  <c r="T54" i="9" s="1"/>
  <c r="T55" i="9" s="1"/>
  <c r="S47" i="9"/>
  <c r="S48" i="9" s="1"/>
  <c r="S49" i="9" s="1"/>
  <c r="S50" i="9" s="1"/>
  <c r="S51" i="9" s="1"/>
  <c r="S52" i="9" s="1"/>
  <c r="S53" i="9" s="1"/>
  <c r="S54" i="9" s="1"/>
  <c r="S55" i="9" s="1"/>
  <c r="H8" i="7" l="1"/>
  <c r="H9" i="7" s="1"/>
  <c r="F34" i="7"/>
  <c r="I48" i="7"/>
  <c r="I49" i="7"/>
  <c r="I47" i="7"/>
  <c r="F20" i="7"/>
  <c r="F21" i="7"/>
  <c r="C78" i="12"/>
  <c r="C79" i="12"/>
  <c r="C80" i="12"/>
  <c r="C81" i="12"/>
  <c r="C82" i="12"/>
  <c r="C83" i="12"/>
  <c r="C84" i="12"/>
  <c r="C85" i="12"/>
  <c r="C86" i="12"/>
  <c r="C87" i="12"/>
  <c r="C88" i="12"/>
  <c r="C89" i="12"/>
  <c r="C90" i="12"/>
  <c r="C91" i="12"/>
  <c r="C92" i="12"/>
  <c r="C93" i="12"/>
  <c r="C94" i="12"/>
  <c r="C95" i="12"/>
  <c r="C96" i="12"/>
  <c r="C97" i="12"/>
  <c r="C98" i="12"/>
  <c r="C99" i="12"/>
  <c r="C100" i="12"/>
  <c r="C101" i="12"/>
  <c r="C102" i="12"/>
  <c r="C103" i="12"/>
  <c r="C104" i="12"/>
  <c r="C105" i="12"/>
  <c r="C106" i="12"/>
  <c r="C41" i="12"/>
  <c r="E41" i="12"/>
  <c r="C42" i="12"/>
  <c r="E42" i="12"/>
  <c r="C43" i="12"/>
  <c r="E43" i="12"/>
  <c r="C44" i="12"/>
  <c r="E44" i="12"/>
  <c r="C45" i="12"/>
  <c r="E45" i="12"/>
  <c r="C46" i="12"/>
  <c r="E46" i="12"/>
  <c r="C47" i="12"/>
  <c r="E47" i="12"/>
  <c r="C48" i="12"/>
  <c r="E48" i="12"/>
  <c r="C49" i="12"/>
  <c r="E49" i="12"/>
  <c r="C50" i="12"/>
  <c r="E50" i="12"/>
  <c r="C51" i="12"/>
  <c r="E51" i="12"/>
  <c r="C52" i="12"/>
  <c r="E52" i="12"/>
  <c r="C53" i="12"/>
  <c r="E53" i="12"/>
  <c r="C54" i="12"/>
  <c r="E54" i="12"/>
  <c r="C55" i="12"/>
  <c r="E55" i="12"/>
  <c r="C56" i="12"/>
  <c r="E56" i="12"/>
  <c r="C57" i="12"/>
  <c r="E57" i="12"/>
  <c r="C58" i="12"/>
  <c r="E58" i="12"/>
  <c r="C59" i="12"/>
  <c r="E59" i="12"/>
  <c r="C60" i="12"/>
  <c r="E60" i="12"/>
  <c r="C61" i="12"/>
  <c r="E61" i="12"/>
  <c r="C62" i="12"/>
  <c r="E62" i="12"/>
  <c r="C63" i="12"/>
  <c r="E63" i="12"/>
  <c r="C64" i="12"/>
  <c r="E64" i="12"/>
  <c r="C65" i="12"/>
  <c r="E65" i="12"/>
  <c r="C66" i="12"/>
  <c r="E66" i="12"/>
  <c r="C67" i="12"/>
  <c r="E67" i="12"/>
  <c r="C68" i="12"/>
  <c r="E68" i="12"/>
  <c r="C69" i="12"/>
  <c r="E69"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F8" i="7"/>
  <c r="F9" i="7" s="1"/>
  <c r="D219" i="12" l="1"/>
  <c r="F219" i="12" s="1"/>
  <c r="G219" i="12" s="1"/>
  <c r="D214" i="12"/>
  <c r="F214" i="12" s="1"/>
  <c r="G214" i="12" s="1"/>
  <c r="D201" i="12"/>
  <c r="F201" i="12" s="1"/>
  <c r="G201" i="12" s="1"/>
  <c r="D180" i="12"/>
  <c r="F180" i="12" s="1"/>
  <c r="G180" i="12" s="1"/>
  <c r="D159" i="12"/>
  <c r="F159" i="12" s="1"/>
  <c r="G159" i="12" s="1"/>
  <c r="D212" i="12"/>
  <c r="F212" i="12" s="1"/>
  <c r="G212" i="12" s="1"/>
  <c r="D203" i="12"/>
  <c r="F203" i="12" s="1"/>
  <c r="G203" i="12" s="1"/>
  <c r="D198" i="12"/>
  <c r="F198" i="12" s="1"/>
  <c r="G198" i="12" s="1"/>
  <c r="D166" i="12"/>
  <c r="F166" i="12" s="1"/>
  <c r="G166" i="12" s="1"/>
  <c r="D205" i="12"/>
  <c r="F205" i="12" s="1"/>
  <c r="G205" i="12" s="1"/>
  <c r="D182" i="12"/>
  <c r="F182" i="12" s="1"/>
  <c r="G182" i="12" s="1"/>
  <c r="D174" i="12"/>
  <c r="F174" i="12" s="1"/>
  <c r="G174" i="12" s="1"/>
  <c r="D196" i="12"/>
  <c r="F196" i="12" s="1"/>
  <c r="G196" i="12" s="1"/>
  <c r="D161" i="12"/>
  <c r="F161" i="12" s="1"/>
  <c r="G161" i="12" s="1"/>
  <c r="D217" i="12"/>
  <c r="F217" i="12" s="1"/>
  <c r="G217" i="12" s="1"/>
  <c r="D162" i="12"/>
  <c r="F162" i="12" s="1"/>
  <c r="G162" i="12" s="1"/>
  <c r="D181" i="12"/>
  <c r="F181" i="12" s="1"/>
  <c r="G181" i="12" s="1"/>
  <c r="D176" i="12"/>
  <c r="F176" i="12" s="1"/>
  <c r="G176" i="12" s="1"/>
  <c r="D173" i="12"/>
  <c r="F173" i="12" s="1"/>
  <c r="G173" i="12" s="1"/>
  <c r="D158" i="12"/>
  <c r="F158" i="12" s="1"/>
  <c r="G158" i="12" s="1"/>
  <c r="D221" i="12"/>
  <c r="F221" i="12" s="1"/>
  <c r="G221" i="12" s="1"/>
  <c r="D207" i="12"/>
  <c r="F207" i="12" s="1"/>
  <c r="G207" i="12" s="1"/>
  <c r="D195" i="12"/>
  <c r="F195" i="12" s="1"/>
  <c r="G195" i="12" s="1"/>
  <c r="D164" i="12"/>
  <c r="F164" i="12" s="1"/>
  <c r="G164" i="12" s="1"/>
  <c r="D167" i="12"/>
  <c r="F167" i="12" s="1"/>
  <c r="G167" i="12" s="1"/>
  <c r="D177" i="12"/>
  <c r="F177" i="12" s="1"/>
  <c r="G177" i="12" s="1"/>
  <c r="D179" i="12"/>
  <c r="F179" i="12" s="1"/>
  <c r="G179" i="12" s="1"/>
  <c r="D175" i="12"/>
  <c r="F175" i="12" s="1"/>
  <c r="G175" i="12" s="1"/>
  <c r="D156" i="12"/>
  <c r="F156" i="12" s="1"/>
  <c r="G156" i="12" s="1"/>
  <c r="D211" i="12"/>
  <c r="F211" i="12" s="1"/>
  <c r="G211" i="12" s="1"/>
  <c r="D178" i="12"/>
  <c r="F178" i="12" s="1"/>
  <c r="G178" i="12" s="1"/>
  <c r="D183" i="12"/>
  <c r="F183" i="12" s="1"/>
  <c r="G183" i="12" s="1"/>
  <c r="D171" i="12"/>
  <c r="F171" i="12" s="1"/>
  <c r="G171" i="12" s="1"/>
  <c r="D163" i="12"/>
  <c r="F163" i="12" s="1"/>
  <c r="G163" i="12" s="1"/>
  <c r="D194" i="12"/>
  <c r="F194" i="12" s="1"/>
  <c r="G194" i="12" s="1"/>
  <c r="D168" i="12"/>
  <c r="F168" i="12" s="1"/>
  <c r="G168" i="12" s="1"/>
  <c r="D216" i="12"/>
  <c r="F216" i="12" s="1"/>
  <c r="G216" i="12" s="1"/>
  <c r="D220" i="12"/>
  <c r="F220" i="12" s="1"/>
  <c r="G220" i="12" s="1"/>
  <c r="D215" i="12"/>
  <c r="F215" i="12" s="1"/>
  <c r="G215" i="12" s="1"/>
  <c r="D160" i="12"/>
  <c r="F160" i="12" s="1"/>
  <c r="G160" i="12" s="1"/>
  <c r="D208" i="12"/>
  <c r="F208" i="12" s="1"/>
  <c r="G208" i="12" s="1"/>
  <c r="D204" i="12"/>
  <c r="F204" i="12" s="1"/>
  <c r="G204" i="12" s="1"/>
  <c r="D199" i="12"/>
  <c r="F199" i="12" s="1"/>
  <c r="G199" i="12" s="1"/>
  <c r="D209" i="12"/>
  <c r="F209" i="12" s="1"/>
  <c r="G209" i="12" s="1"/>
  <c r="D200" i="12"/>
  <c r="F200" i="12" s="1"/>
  <c r="G200" i="12" s="1"/>
  <c r="D170" i="12"/>
  <c r="F170" i="12" s="1"/>
  <c r="G170" i="12" s="1"/>
  <c r="D165" i="12"/>
  <c r="F165" i="12" s="1"/>
  <c r="G165" i="12" s="1"/>
  <c r="D172" i="12"/>
  <c r="F172" i="12" s="1"/>
  <c r="G172" i="12" s="1"/>
  <c r="D169" i="12"/>
  <c r="F169" i="12" s="1"/>
  <c r="G169" i="12" s="1"/>
  <c r="D157" i="12"/>
  <c r="F157" i="12" s="1"/>
  <c r="G157" i="12" s="1"/>
  <c r="D213" i="12"/>
  <c r="F213" i="12" s="1"/>
  <c r="G213" i="12" s="1"/>
  <c r="D218" i="12"/>
  <c r="F218" i="12" s="1"/>
  <c r="G218" i="12" s="1"/>
  <c r="D222" i="12"/>
  <c r="F222" i="12" s="1"/>
  <c r="G222" i="12" s="1"/>
  <c r="D197" i="12"/>
  <c r="F197" i="12" s="1"/>
  <c r="G197" i="12" s="1"/>
  <c r="D210" i="12"/>
  <c r="F210" i="12" s="1"/>
  <c r="G210" i="12" s="1"/>
  <c r="D206" i="12"/>
  <c r="F206" i="12" s="1"/>
  <c r="G206" i="12" s="1"/>
  <c r="D202" i="12"/>
  <c r="F202" i="12" s="1"/>
  <c r="G202" i="12" s="1"/>
  <c r="D184" i="12"/>
  <c r="F184" i="12" s="1"/>
  <c r="G184" i="12" s="1"/>
  <c r="D142" i="12"/>
  <c r="F142" i="12" s="1"/>
  <c r="G142" i="12" s="1"/>
  <c r="D137" i="12"/>
  <c r="F137" i="12" s="1"/>
  <c r="G137" i="12" s="1"/>
  <c r="D134" i="12"/>
  <c r="F134" i="12" s="1"/>
  <c r="G134" i="12" s="1"/>
  <c r="D129" i="12"/>
  <c r="F129" i="12" s="1"/>
  <c r="G129" i="12" s="1"/>
  <c r="D126" i="12"/>
  <c r="F126" i="12" s="1"/>
  <c r="G126" i="12" s="1"/>
  <c r="D117" i="12"/>
  <c r="F117" i="12" s="1"/>
  <c r="G117" i="12" s="1"/>
  <c r="D120" i="12"/>
  <c r="F120" i="12" s="1"/>
  <c r="G120" i="12" s="1"/>
  <c r="D140" i="12"/>
  <c r="F140" i="12" s="1"/>
  <c r="G140" i="12" s="1"/>
  <c r="D136" i="12"/>
  <c r="F136" i="12" s="1"/>
  <c r="G136" i="12" s="1"/>
  <c r="D128" i="12"/>
  <c r="F128" i="12" s="1"/>
  <c r="G128" i="12" s="1"/>
  <c r="D144" i="12"/>
  <c r="F144" i="12" s="1"/>
  <c r="G144" i="12" s="1"/>
  <c r="D131" i="12"/>
  <c r="F131" i="12" s="1"/>
  <c r="G131" i="12" s="1"/>
  <c r="D122" i="12"/>
  <c r="F122" i="12" s="1"/>
  <c r="G122" i="12" s="1"/>
  <c r="D119" i="12"/>
  <c r="F119" i="12" s="1"/>
  <c r="G119" i="12" s="1"/>
  <c r="D135" i="12"/>
  <c r="F135" i="12" s="1"/>
  <c r="G135" i="12" s="1"/>
  <c r="D127" i="12"/>
  <c r="F127" i="12" s="1"/>
  <c r="G127" i="12" s="1"/>
  <c r="D118" i="12"/>
  <c r="F118" i="12" s="1"/>
  <c r="G118" i="12" s="1"/>
  <c r="D138" i="12"/>
  <c r="F138" i="12" s="1"/>
  <c r="G138" i="12" s="1"/>
  <c r="D132" i="12"/>
  <c r="F132" i="12" s="1"/>
  <c r="G132" i="12" s="1"/>
  <c r="D130" i="12"/>
  <c r="F130" i="12" s="1"/>
  <c r="G130" i="12" s="1"/>
  <c r="D124" i="12"/>
  <c r="F124" i="12" s="1"/>
  <c r="G124" i="12" s="1"/>
  <c r="D145" i="12"/>
  <c r="F145" i="12" s="1"/>
  <c r="G145" i="12" s="1"/>
  <c r="D139" i="12"/>
  <c r="F139" i="12" s="1"/>
  <c r="G139" i="12" s="1"/>
  <c r="D121" i="12"/>
  <c r="F121" i="12" s="1"/>
  <c r="G121" i="12" s="1"/>
  <c r="D123" i="12"/>
  <c r="F123" i="12" s="1"/>
  <c r="G123" i="12" s="1"/>
  <c r="D143" i="12"/>
  <c r="F143" i="12" s="1"/>
  <c r="G143" i="12" s="1"/>
  <c r="D141" i="12"/>
  <c r="F141" i="12" s="1"/>
  <c r="G141" i="12" s="1"/>
  <c r="D133" i="12"/>
  <c r="F133" i="12" s="1"/>
  <c r="G133" i="12" s="1"/>
  <c r="D125" i="12"/>
  <c r="F125" i="12" s="1"/>
  <c r="G125" i="12" s="1"/>
  <c r="C63" i="7"/>
  <c r="G64" i="7" s="1"/>
  <c r="D19" i="12"/>
  <c r="F19" i="12" s="1"/>
  <c r="G19" i="12" s="1"/>
  <c r="D7" i="12"/>
  <c r="F7" i="12" s="1"/>
  <c r="G7" i="12" s="1"/>
  <c r="D14" i="12"/>
  <c r="F14" i="12" s="1"/>
  <c r="G14" i="12" s="1"/>
  <c r="D22" i="12"/>
  <c r="F22" i="12" s="1"/>
  <c r="G22" i="12" s="1"/>
  <c r="D29" i="12"/>
  <c r="F29" i="12" s="1"/>
  <c r="G29" i="12" s="1"/>
  <c r="D23" i="12"/>
  <c r="F23" i="12" s="1"/>
  <c r="G23" i="12" s="1"/>
  <c r="D21" i="12"/>
  <c r="F21" i="12" s="1"/>
  <c r="G21" i="12" s="1"/>
  <c r="D11" i="12"/>
  <c r="F11" i="12" s="1"/>
  <c r="G11" i="12" s="1"/>
  <c r="D28" i="12"/>
  <c r="F28" i="12" s="1"/>
  <c r="G28" i="12" s="1"/>
  <c r="D18" i="12"/>
  <c r="F18" i="12" s="1"/>
  <c r="G18" i="12" s="1"/>
  <c r="D10" i="12"/>
  <c r="F10" i="12" s="1"/>
  <c r="G10" i="12" s="1"/>
  <c r="D16" i="12"/>
  <c r="F16" i="12" s="1"/>
  <c r="G16" i="12" s="1"/>
  <c r="D4" i="12"/>
  <c r="F4" i="12" s="1"/>
  <c r="G4" i="12" s="1"/>
  <c r="D12" i="12"/>
  <c r="F12" i="12" s="1"/>
  <c r="G12" i="12" s="1"/>
  <c r="D24" i="12"/>
  <c r="F24" i="12" s="1"/>
  <c r="G24" i="12" s="1"/>
  <c r="D31" i="12"/>
  <c r="F31" i="12" s="1"/>
  <c r="G31" i="12" s="1"/>
  <c r="D17" i="12"/>
  <c r="F17" i="12" s="1"/>
  <c r="G17" i="12" s="1"/>
  <c r="D9" i="12"/>
  <c r="F9" i="12" s="1"/>
  <c r="G9" i="12" s="1"/>
  <c r="D25" i="12"/>
  <c r="F25" i="12" s="1"/>
  <c r="G25" i="12" s="1"/>
  <c r="D30" i="12"/>
  <c r="F30" i="12" s="1"/>
  <c r="G30" i="12" s="1"/>
  <c r="D5" i="12"/>
  <c r="F5" i="12" s="1"/>
  <c r="G5" i="12" s="1"/>
  <c r="D13" i="12"/>
  <c r="F13" i="12" s="1"/>
  <c r="G13" i="12" s="1"/>
  <c r="D6" i="12"/>
  <c r="F6" i="12" s="1"/>
  <c r="G6" i="12" s="1"/>
  <c r="D8" i="12"/>
  <c r="F8" i="12" s="1"/>
  <c r="G8" i="12" s="1"/>
  <c r="D32" i="12"/>
  <c r="F32" i="12" s="1"/>
  <c r="G32" i="12" s="1"/>
  <c r="D26" i="12"/>
  <c r="F26" i="12" s="1"/>
  <c r="G26" i="12" s="1"/>
  <c r="D20" i="12"/>
  <c r="F20" i="12" s="1"/>
  <c r="G20" i="12" s="1"/>
  <c r="D27" i="12"/>
  <c r="F27" i="12" s="1"/>
  <c r="G27" i="12" s="1"/>
  <c r="D15" i="12"/>
  <c r="F15" i="12" s="1"/>
  <c r="G15" i="12" s="1"/>
  <c r="F40" i="7"/>
  <c r="F41" i="7" s="1"/>
  <c r="I24" i="13"/>
  <c r="I44" i="13"/>
  <c r="I64" i="13"/>
  <c r="I7" i="13"/>
  <c r="I26" i="13"/>
  <c r="I27" i="13"/>
  <c r="I48" i="13"/>
  <c r="I69" i="13"/>
  <c r="I70" i="13"/>
  <c r="I32" i="13"/>
  <c r="I62" i="13"/>
  <c r="I25" i="13"/>
  <c r="I45" i="13"/>
  <c r="I65" i="13"/>
  <c r="I46" i="13"/>
  <c r="I66" i="13"/>
  <c r="I47" i="13"/>
  <c r="I67" i="13"/>
  <c r="I28" i="13"/>
  <c r="I68" i="13"/>
  <c r="I29" i="13"/>
  <c r="I71" i="13"/>
  <c r="I52" i="13"/>
  <c r="I42" i="13"/>
  <c r="I50" i="13"/>
  <c r="I49" i="13"/>
  <c r="I23" i="13"/>
  <c r="I8" i="13"/>
  <c r="I30" i="13"/>
  <c r="I12" i="13"/>
  <c r="I22" i="13"/>
  <c r="I9" i="13"/>
  <c r="I10" i="13"/>
  <c r="I72" i="13"/>
  <c r="I11" i="13"/>
  <c r="I31" i="13"/>
  <c r="I51" i="13"/>
  <c r="I13" i="13"/>
  <c r="I33" i="13"/>
  <c r="I53" i="13"/>
  <c r="I73" i="13"/>
  <c r="I14" i="13"/>
  <c r="I34" i="13"/>
  <c r="I54" i="13"/>
  <c r="I74" i="13"/>
  <c r="I15" i="13"/>
  <c r="I35" i="13"/>
  <c r="I55" i="13"/>
  <c r="I75" i="13"/>
  <c r="I18" i="13"/>
  <c r="I58" i="13"/>
  <c r="I19" i="13"/>
  <c r="I59" i="13"/>
  <c r="I20" i="13"/>
  <c r="I40" i="13"/>
  <c r="I60" i="13"/>
  <c r="I21" i="13"/>
  <c r="I61" i="13"/>
  <c r="I43" i="13"/>
  <c r="I16" i="13"/>
  <c r="I36" i="13"/>
  <c r="I56" i="13"/>
  <c r="I17" i="13"/>
  <c r="I37" i="13"/>
  <c r="I57" i="13"/>
  <c r="I38" i="13"/>
  <c r="I39" i="13"/>
  <c r="I41" i="13"/>
  <c r="I63" i="13"/>
  <c r="J49" i="7"/>
  <c r="J48" i="7"/>
  <c r="E20" i="13"/>
  <c r="E40" i="13"/>
  <c r="E60" i="13"/>
  <c r="E22" i="13"/>
  <c r="E62" i="13"/>
  <c r="E43" i="13"/>
  <c r="E26" i="13"/>
  <c r="E21" i="13"/>
  <c r="E41" i="13"/>
  <c r="E61" i="13"/>
  <c r="E42" i="13"/>
  <c r="E23" i="13"/>
  <c r="E63" i="13"/>
  <c r="E45" i="13"/>
  <c r="E65" i="13"/>
  <c r="E66" i="13"/>
  <c r="E24" i="13"/>
  <c r="E44" i="13"/>
  <c r="E64" i="13"/>
  <c r="E25" i="13"/>
  <c r="E46" i="13"/>
  <c r="E9" i="13"/>
  <c r="E29" i="13"/>
  <c r="E49" i="13"/>
  <c r="E69" i="13"/>
  <c r="E10" i="13"/>
  <c r="E30" i="13"/>
  <c r="E50" i="13"/>
  <c r="E70" i="13"/>
  <c r="E11" i="13"/>
  <c r="E31" i="13"/>
  <c r="E51" i="13"/>
  <c r="E71" i="13"/>
  <c r="E12" i="13"/>
  <c r="E32" i="13"/>
  <c r="E52" i="13"/>
  <c r="E72" i="13"/>
  <c r="E13" i="13"/>
  <c r="E33" i="13"/>
  <c r="E53" i="13"/>
  <c r="E73" i="13"/>
  <c r="E14" i="13"/>
  <c r="E34" i="13"/>
  <c r="E35" i="13"/>
  <c r="E36" i="13"/>
  <c r="E37" i="13"/>
  <c r="E38" i="13"/>
  <c r="E55" i="13"/>
  <c r="E59" i="13"/>
  <c r="E15" i="13"/>
  <c r="E67" i="13"/>
  <c r="E75" i="13"/>
  <c r="E19" i="13"/>
  <c r="E39" i="13"/>
  <c r="E68" i="13"/>
  <c r="E17" i="13"/>
  <c r="E47" i="13"/>
  <c r="E48" i="13"/>
  <c r="E54" i="13"/>
  <c r="E74" i="13"/>
  <c r="E18" i="13"/>
  <c r="E7" i="13"/>
  <c r="E27" i="13"/>
  <c r="E28" i="13"/>
  <c r="E56" i="13"/>
  <c r="E57" i="13"/>
  <c r="E58" i="13"/>
  <c r="E8" i="13"/>
  <c r="E16" i="13"/>
  <c r="J47" i="7"/>
  <c r="H47" i="7"/>
  <c r="D78" i="12"/>
  <c r="F78" i="12" s="1"/>
  <c r="G78" i="12" s="1"/>
  <c r="D56" i="12"/>
  <c r="F56" i="12" s="1"/>
  <c r="G56" i="12" s="1"/>
  <c r="D68" i="12"/>
  <c r="F68" i="12" s="1"/>
  <c r="G68" i="12" s="1"/>
  <c r="D52" i="12"/>
  <c r="F52" i="12" s="1"/>
  <c r="G52" i="12" s="1"/>
  <c r="D50" i="12"/>
  <c r="F50" i="12" s="1"/>
  <c r="G50" i="12" s="1"/>
  <c r="D46" i="12"/>
  <c r="F46" i="12" s="1"/>
  <c r="G46" i="12" s="1"/>
  <c r="D88" i="12"/>
  <c r="F88" i="12" s="1"/>
  <c r="G88" i="12" s="1"/>
  <c r="D66" i="12"/>
  <c r="F66" i="12" s="1"/>
  <c r="G66" i="12" s="1"/>
  <c r="D103" i="12"/>
  <c r="F103" i="12" s="1"/>
  <c r="G103" i="12" s="1"/>
  <c r="D95" i="12"/>
  <c r="F95" i="12" s="1"/>
  <c r="G95" i="12" s="1"/>
  <c r="D62" i="12"/>
  <c r="F62" i="12" s="1"/>
  <c r="G62" i="12" s="1"/>
  <c r="D99" i="12"/>
  <c r="F99" i="12" s="1"/>
  <c r="G99" i="12" s="1"/>
  <c r="D100" i="12"/>
  <c r="F100" i="12" s="1"/>
  <c r="G100" i="12" s="1"/>
  <c r="D43" i="12"/>
  <c r="F43" i="12" s="1"/>
  <c r="G43" i="12" s="1"/>
  <c r="D58" i="12"/>
  <c r="F58" i="12" s="1"/>
  <c r="G58" i="12" s="1"/>
  <c r="D47" i="12"/>
  <c r="F47" i="12" s="1"/>
  <c r="G47" i="12" s="1"/>
  <c r="D54" i="12"/>
  <c r="F54" i="12" s="1"/>
  <c r="G54" i="12" s="1"/>
  <c r="D90" i="12"/>
  <c r="F90" i="12" s="1"/>
  <c r="G90" i="12" s="1"/>
  <c r="D79" i="12"/>
  <c r="F79" i="12" s="1"/>
  <c r="G79" i="12" s="1"/>
  <c r="D104" i="12"/>
  <c r="F104" i="12" s="1"/>
  <c r="G104" i="12" s="1"/>
  <c r="D93" i="12"/>
  <c r="F93" i="12" s="1"/>
  <c r="G93" i="12" s="1"/>
  <c r="D84" i="12"/>
  <c r="F84" i="12" s="1"/>
  <c r="G84" i="12" s="1"/>
  <c r="D49" i="12"/>
  <c r="F49" i="12" s="1"/>
  <c r="G49" i="12" s="1"/>
  <c r="D89" i="12"/>
  <c r="F89" i="12" s="1"/>
  <c r="G89" i="12" s="1"/>
  <c r="D85" i="12"/>
  <c r="F85" i="12" s="1"/>
  <c r="G85" i="12" s="1"/>
  <c r="D69" i="12"/>
  <c r="F69" i="12" s="1"/>
  <c r="G69" i="12" s="1"/>
  <c r="D97" i="12"/>
  <c r="F97" i="12" s="1"/>
  <c r="G97" i="12" s="1"/>
  <c r="D53" i="12"/>
  <c r="F53" i="12" s="1"/>
  <c r="G53" i="12" s="1"/>
  <c r="D105" i="12"/>
  <c r="F105" i="12" s="1"/>
  <c r="G105" i="12" s="1"/>
  <c r="D67" i="12"/>
  <c r="F67" i="12" s="1"/>
  <c r="G67" i="12" s="1"/>
  <c r="D101" i="12"/>
  <c r="F101" i="12" s="1"/>
  <c r="G101" i="12" s="1"/>
  <c r="D81" i="12"/>
  <c r="F81" i="12" s="1"/>
  <c r="G81" i="12" s="1"/>
  <c r="D64" i="12"/>
  <c r="F64" i="12" s="1"/>
  <c r="G64" i="12" s="1"/>
  <c r="D63" i="12"/>
  <c r="F63" i="12" s="1"/>
  <c r="G63" i="12" s="1"/>
  <c r="D59" i="12"/>
  <c r="F59" i="12" s="1"/>
  <c r="G59" i="12" s="1"/>
  <c r="D96" i="12"/>
  <c r="F96" i="12" s="1"/>
  <c r="G96" i="12" s="1"/>
  <c r="D98" i="12"/>
  <c r="F98" i="12" s="1"/>
  <c r="G98" i="12" s="1"/>
  <c r="D86" i="12"/>
  <c r="F86" i="12" s="1"/>
  <c r="G86" i="12" s="1"/>
  <c r="D94" i="12"/>
  <c r="F94" i="12" s="1"/>
  <c r="G94" i="12" s="1"/>
  <c r="D44" i="12"/>
  <c r="F44" i="12" s="1"/>
  <c r="G44" i="12" s="1"/>
  <c r="D106" i="12"/>
  <c r="F106" i="12" s="1"/>
  <c r="G106" i="12" s="1"/>
  <c r="D57" i="12"/>
  <c r="F57" i="12" s="1"/>
  <c r="G57" i="12" s="1"/>
  <c r="D61" i="12"/>
  <c r="F61" i="12" s="1"/>
  <c r="G61" i="12" s="1"/>
  <c r="D45" i="12"/>
  <c r="F45" i="12" s="1"/>
  <c r="G45" i="12" s="1"/>
  <c r="D42" i="12"/>
  <c r="F42" i="12" s="1"/>
  <c r="G42" i="12" s="1"/>
  <c r="D82" i="12"/>
  <c r="F82" i="12" s="1"/>
  <c r="G82" i="12" s="1"/>
  <c r="D55" i="12"/>
  <c r="F55" i="12" s="1"/>
  <c r="G55" i="12" s="1"/>
  <c r="D65" i="12"/>
  <c r="F65" i="12" s="1"/>
  <c r="G65" i="12" s="1"/>
  <c r="D41" i="12"/>
  <c r="F41" i="12" s="1"/>
  <c r="G41" i="12" s="1"/>
  <c r="D80" i="12"/>
  <c r="F80" i="12" s="1"/>
  <c r="G80" i="12" s="1"/>
  <c r="D60" i="12"/>
  <c r="F60" i="12" s="1"/>
  <c r="G60" i="12" s="1"/>
  <c r="D102" i="12"/>
  <c r="F102" i="12" s="1"/>
  <c r="G102" i="12" s="1"/>
  <c r="D48" i="12"/>
  <c r="F48" i="12" s="1"/>
  <c r="G48" i="12" s="1"/>
  <c r="D51" i="12"/>
  <c r="F51" i="12" s="1"/>
  <c r="G51" i="12" s="1"/>
  <c r="D91" i="12"/>
  <c r="F91" i="12" s="1"/>
  <c r="G91" i="12" s="1"/>
  <c r="D87" i="12"/>
  <c r="F87" i="12" s="1"/>
  <c r="G87" i="12" s="1"/>
  <c r="D83" i="12"/>
  <c r="F83" i="12" s="1"/>
  <c r="G83" i="12" s="1"/>
  <c r="D92" i="12"/>
  <c r="F92" i="12" s="1"/>
  <c r="G92" i="12" s="1"/>
  <c r="H48" i="7"/>
  <c r="H49" i="7"/>
  <c r="J41" i="13" l="1"/>
  <c r="K41" i="13" s="1"/>
  <c r="F75" i="7"/>
  <c r="B4" i="13"/>
  <c r="C67" i="7" s="1"/>
  <c r="J14" i="13"/>
  <c r="K14" i="13" s="1"/>
  <c r="J44" i="13"/>
  <c r="K44" i="13" s="1"/>
  <c r="J54" i="13"/>
  <c r="K54" i="13" s="1"/>
  <c r="J55" i="13"/>
  <c r="K55" i="13" s="1"/>
  <c r="J49" i="13"/>
  <c r="K49" i="13" s="1"/>
  <c r="J69" i="13"/>
  <c r="K69" i="13" s="1"/>
  <c r="J57" i="13"/>
  <c r="K57" i="13" s="1"/>
  <c r="J38" i="13"/>
  <c r="K38" i="13" s="1"/>
  <c r="J48" i="13"/>
  <c r="K48" i="13" s="1"/>
  <c r="J24" i="13"/>
  <c r="K24" i="13" s="1"/>
  <c r="J50" i="13"/>
  <c r="K50" i="13" s="1"/>
  <c r="J34" i="13"/>
  <c r="K34" i="13" s="1"/>
  <c r="J56" i="13"/>
  <c r="K56" i="13" s="1"/>
  <c r="J73" i="13"/>
  <c r="K73" i="13" s="1"/>
  <c r="J52" i="13"/>
  <c r="K52" i="13" s="1"/>
  <c r="J22" i="13"/>
  <c r="K22" i="13" s="1"/>
  <c r="J27" i="13"/>
  <c r="K27" i="13" s="1"/>
  <c r="J30" i="13"/>
  <c r="K30" i="13" s="1"/>
  <c r="J59" i="13"/>
  <c r="K59" i="13" s="1"/>
  <c r="J37" i="13"/>
  <c r="K37" i="13" s="1"/>
  <c r="J36" i="13"/>
  <c r="K36" i="13" s="1"/>
  <c r="J8" i="13"/>
  <c r="K8" i="13" s="1"/>
  <c r="J17" i="13"/>
  <c r="K17" i="13" s="1"/>
  <c r="J58" i="13"/>
  <c r="K58" i="13" s="1"/>
  <c r="J64" i="13"/>
  <c r="K64" i="13" s="1"/>
  <c r="J26" i="13"/>
  <c r="K26" i="13" s="1"/>
  <c r="J29" i="13"/>
  <c r="K29" i="13" s="1"/>
  <c r="J71" i="13"/>
  <c r="K71" i="13" s="1"/>
  <c r="J35" i="13"/>
  <c r="K35" i="13" s="1"/>
  <c r="J70" i="13"/>
  <c r="K70" i="13" s="1"/>
  <c r="J62" i="13"/>
  <c r="K62" i="13" s="1"/>
  <c r="J10" i="13"/>
  <c r="K10" i="13" s="1"/>
  <c r="J74" i="13"/>
  <c r="K74" i="13" s="1"/>
  <c r="J21" i="13"/>
  <c r="K21" i="13" s="1"/>
  <c r="J18" i="13"/>
  <c r="K18" i="13" s="1"/>
  <c r="J16" i="13"/>
  <c r="K16" i="13" s="1"/>
  <c r="J9" i="13"/>
  <c r="K9" i="13" s="1"/>
  <c r="J40" i="13"/>
  <c r="K40" i="13" s="1"/>
  <c r="J28" i="13"/>
  <c r="K28" i="13" s="1"/>
  <c r="J60" i="13"/>
  <c r="K60" i="13" s="1"/>
  <c r="J53" i="13"/>
  <c r="K53" i="13" s="1"/>
  <c r="J25" i="13"/>
  <c r="K25" i="13" s="1"/>
  <c r="J72" i="13"/>
  <c r="K72" i="13" s="1"/>
  <c r="J68" i="13"/>
  <c r="K68" i="13" s="1"/>
  <c r="J32" i="13"/>
  <c r="K32" i="13" s="1"/>
  <c r="J65" i="13"/>
  <c r="K65" i="13" s="1"/>
  <c r="J66" i="13"/>
  <c r="K66" i="13" s="1"/>
  <c r="J12" i="13"/>
  <c r="K12" i="13" s="1"/>
  <c r="J45" i="13"/>
  <c r="K45" i="13" s="1"/>
  <c r="J19" i="13"/>
  <c r="K19" i="13" s="1"/>
  <c r="J63" i="13"/>
  <c r="K63" i="13" s="1"/>
  <c r="J75" i="13"/>
  <c r="K75" i="13" s="1"/>
  <c r="J51" i="13"/>
  <c r="K51" i="13" s="1"/>
  <c r="J23" i="13"/>
  <c r="K23" i="13" s="1"/>
  <c r="J43" i="13"/>
  <c r="K43" i="13" s="1"/>
  <c r="J46" i="13"/>
  <c r="K46" i="13" s="1"/>
  <c r="J20" i="13"/>
  <c r="K20" i="13" s="1"/>
  <c r="J13" i="13"/>
  <c r="K13" i="13" s="1"/>
  <c r="J47" i="13"/>
  <c r="K47" i="13" s="1"/>
  <c r="J39" i="13"/>
  <c r="K39" i="13" s="1"/>
  <c r="J67" i="13"/>
  <c r="K67" i="13" s="1"/>
  <c r="J31" i="13"/>
  <c r="K31" i="13" s="1"/>
  <c r="J42" i="13"/>
  <c r="K42" i="13" s="1"/>
  <c r="J33" i="13"/>
  <c r="K33" i="13" s="1"/>
  <c r="J15" i="13"/>
  <c r="K15" i="13" s="1"/>
  <c r="J11" i="13"/>
  <c r="K11" i="13" s="1"/>
  <c r="J61" i="13"/>
  <c r="K61" i="13" s="1"/>
  <c r="J7" i="13"/>
  <c r="K7" i="13" s="1"/>
  <c r="H50" i="7"/>
  <c r="J50" i="7"/>
  <c r="F88" i="7" s="1"/>
  <c r="I50" i="7"/>
  <c r="F73" i="7" s="1"/>
  <c r="F76" i="7" s="1"/>
  <c r="H198" i="12" l="1"/>
  <c r="I198" i="12" s="1"/>
  <c r="H183" i="12"/>
  <c r="I183" i="12" s="1"/>
  <c r="H166" i="12"/>
  <c r="I166" i="12" s="1"/>
  <c r="H137" i="12"/>
  <c r="I137" i="12" s="1"/>
  <c r="H120" i="12"/>
  <c r="I120" i="12" s="1"/>
  <c r="H221" i="12"/>
  <c r="I221" i="12" s="1"/>
  <c r="H204" i="12"/>
  <c r="I204" i="12" s="1"/>
  <c r="H176" i="12"/>
  <c r="I176" i="12" s="1"/>
  <c r="H159" i="12"/>
  <c r="I159" i="12" s="1"/>
  <c r="H143" i="12"/>
  <c r="I143" i="12" s="1"/>
  <c r="H214" i="12"/>
  <c r="I214" i="12" s="1"/>
  <c r="H197" i="12"/>
  <c r="I197" i="12" s="1"/>
  <c r="H182" i="12"/>
  <c r="I182" i="12" s="1"/>
  <c r="H136" i="12"/>
  <c r="I136" i="12" s="1"/>
  <c r="H119" i="12"/>
  <c r="I119" i="12" s="1"/>
  <c r="H220" i="12"/>
  <c r="I220" i="12" s="1"/>
  <c r="H175" i="12"/>
  <c r="I175" i="12" s="1"/>
  <c r="H158" i="12"/>
  <c r="I158" i="12" s="1"/>
  <c r="H129" i="12"/>
  <c r="I129" i="12" s="1"/>
  <c r="H213" i="12"/>
  <c r="I213" i="12" s="1"/>
  <c r="H196" i="12"/>
  <c r="I196" i="12" s="1"/>
  <c r="H168" i="12"/>
  <c r="I168" i="12" s="1"/>
  <c r="H135" i="12"/>
  <c r="I135" i="12" s="1"/>
  <c r="H206" i="12"/>
  <c r="I206" i="12" s="1"/>
  <c r="H174" i="12"/>
  <c r="I174" i="12" s="1"/>
  <c r="H145" i="12"/>
  <c r="I145" i="12" s="1"/>
  <c r="H128" i="12"/>
  <c r="I128" i="12" s="1"/>
  <c r="I150" i="12" s="1"/>
  <c r="H212" i="12"/>
  <c r="I212" i="12" s="1"/>
  <c r="H184" i="12"/>
  <c r="I184" i="12" s="1"/>
  <c r="H167" i="12"/>
  <c r="I167" i="12" s="1"/>
  <c r="I189" i="12" s="1"/>
  <c r="H121" i="12"/>
  <c r="I121" i="12" s="1"/>
  <c r="H222" i="12"/>
  <c r="I222" i="12" s="1"/>
  <c r="H205" i="12"/>
  <c r="I205" i="12" s="1"/>
  <c r="I227" i="12" s="1"/>
  <c r="H160" i="12"/>
  <c r="I160" i="12" s="1"/>
  <c r="H144" i="12"/>
  <c r="I144" i="12" s="1"/>
  <c r="H127" i="12"/>
  <c r="I127" i="12" s="1"/>
  <c r="H133" i="12"/>
  <c r="I133" i="12" s="1"/>
  <c r="H156" i="12"/>
  <c r="I156" i="12" s="1"/>
  <c r="H140" i="12"/>
  <c r="I140" i="12" s="1"/>
  <c r="H141" i="12"/>
  <c r="I141" i="12" s="1"/>
  <c r="H203" i="12"/>
  <c r="I203" i="12" s="1"/>
  <c r="H171" i="12"/>
  <c r="I171" i="12" s="1"/>
  <c r="H126" i="12"/>
  <c r="I126" i="12" s="1"/>
  <c r="H138" i="12"/>
  <c r="I138" i="12" s="1"/>
  <c r="H161" i="12"/>
  <c r="I161" i="12" s="1"/>
  <c r="H157" i="12"/>
  <c r="I157" i="12" s="1"/>
  <c r="H163" i="12"/>
  <c r="I163" i="12" s="1"/>
  <c r="H208" i="12"/>
  <c r="I208" i="12" s="1"/>
  <c r="H210" i="12"/>
  <c r="I210" i="12" s="1"/>
  <c r="H134" i="12"/>
  <c r="I134" i="12" s="1"/>
  <c r="H173" i="12"/>
  <c r="I173" i="12" s="1"/>
  <c r="H179" i="12"/>
  <c r="I179" i="12" s="1"/>
  <c r="H162" i="12"/>
  <c r="I162" i="12" s="1"/>
  <c r="H181" i="12"/>
  <c r="I181" i="12" s="1"/>
  <c r="H125" i="12"/>
  <c r="I125" i="12" s="1"/>
  <c r="H215" i="12"/>
  <c r="I215" i="12" s="1"/>
  <c r="H142" i="12"/>
  <c r="I142" i="12" s="1"/>
  <c r="H178" i="12"/>
  <c r="I178" i="12" s="1"/>
  <c r="H195" i="12"/>
  <c r="I195" i="12" s="1"/>
  <c r="H180" i="12"/>
  <c r="I180" i="12" s="1"/>
  <c r="H202" i="12"/>
  <c r="I202" i="12" s="1"/>
  <c r="H130" i="12"/>
  <c r="I130" i="12" s="1"/>
  <c r="H132" i="12"/>
  <c r="I132" i="12" s="1"/>
  <c r="H194" i="12"/>
  <c r="I194" i="12" s="1"/>
  <c r="H200" i="12"/>
  <c r="I200" i="12" s="1"/>
  <c r="H201" i="12"/>
  <c r="I201" i="12" s="1"/>
  <c r="H207" i="12"/>
  <c r="I207" i="12" s="1"/>
  <c r="H165" i="12"/>
  <c r="I165" i="12" s="1"/>
  <c r="H172" i="12"/>
  <c r="I172" i="12" s="1"/>
  <c r="H199" i="12"/>
  <c r="I199" i="12" s="1"/>
  <c r="H218" i="12"/>
  <c r="I218" i="12" s="1"/>
  <c r="H219" i="12"/>
  <c r="I219" i="12" s="1"/>
  <c r="H124" i="12"/>
  <c r="I124" i="12" s="1"/>
  <c r="H170" i="12"/>
  <c r="I170" i="12" s="1"/>
  <c r="H177" i="12"/>
  <c r="I177" i="12" s="1"/>
  <c r="H217" i="12"/>
  <c r="I217" i="12" s="1"/>
  <c r="H117" i="12"/>
  <c r="I117" i="12" s="1"/>
  <c r="H118" i="12"/>
  <c r="I118" i="12" s="1"/>
  <c r="H164" i="12"/>
  <c r="I164" i="12" s="1"/>
  <c r="H209" i="12"/>
  <c r="I209" i="12" s="1"/>
  <c r="H211" i="12"/>
  <c r="I211" i="12" s="1"/>
  <c r="H139" i="12"/>
  <c r="I139" i="12" s="1"/>
  <c r="H122" i="12"/>
  <c r="I122" i="12" s="1"/>
  <c r="H123" i="12"/>
  <c r="I123" i="12" s="1"/>
  <c r="H169" i="12"/>
  <c r="I169" i="12" s="1"/>
  <c r="H131" i="12"/>
  <c r="I131" i="12" s="1"/>
  <c r="H216" i="12"/>
  <c r="I216" i="12" s="1"/>
  <c r="L25" i="13"/>
  <c r="M25" i="13" s="1"/>
  <c r="N25" i="13" s="1"/>
  <c r="L47" i="13"/>
  <c r="M47" i="13" s="1"/>
  <c r="N47" i="13" s="1"/>
  <c r="L44" i="13"/>
  <c r="M44" i="13" s="1"/>
  <c r="N44" i="13" s="1"/>
  <c r="L70" i="13"/>
  <c r="M70" i="13" s="1"/>
  <c r="N70" i="13" s="1"/>
  <c r="L58" i="13"/>
  <c r="M58" i="13" s="1"/>
  <c r="N58" i="13" s="1"/>
  <c r="L11" i="13"/>
  <c r="M11" i="13" s="1"/>
  <c r="N11" i="13" s="1"/>
  <c r="L45" i="13"/>
  <c r="M45" i="13" s="1"/>
  <c r="N45" i="13" s="1"/>
  <c r="L38" i="13"/>
  <c r="M38" i="13" s="1"/>
  <c r="N38" i="13" s="1"/>
  <c r="L19" i="13"/>
  <c r="M19" i="13" s="1"/>
  <c r="N19" i="13" s="1"/>
  <c r="H79" i="12"/>
  <c r="I79" i="12" s="1"/>
  <c r="H99" i="12"/>
  <c r="I99" i="12" s="1"/>
  <c r="H53" i="12"/>
  <c r="I53" i="12" s="1"/>
  <c r="H7" i="12"/>
  <c r="I7" i="12" s="1"/>
  <c r="H27" i="12"/>
  <c r="I27" i="12" s="1"/>
  <c r="H32" i="12"/>
  <c r="I32" i="12" s="1"/>
  <c r="H85" i="12"/>
  <c r="I85" i="12" s="1"/>
  <c r="H18" i="12"/>
  <c r="I18" i="12" s="1"/>
  <c r="H47" i="12"/>
  <c r="I47" i="12" s="1"/>
  <c r="H49" i="12"/>
  <c r="I49" i="12" s="1"/>
  <c r="H24" i="12"/>
  <c r="I24" i="12" s="1"/>
  <c r="H80" i="12"/>
  <c r="I80" i="12" s="1"/>
  <c r="H100" i="12"/>
  <c r="I100" i="12" s="1"/>
  <c r="H54" i="12"/>
  <c r="I54" i="12" s="1"/>
  <c r="H8" i="12"/>
  <c r="I8" i="12" s="1"/>
  <c r="H28" i="12"/>
  <c r="I28" i="12" s="1"/>
  <c r="H12" i="12"/>
  <c r="I12" i="12" s="1"/>
  <c r="H105" i="12"/>
  <c r="I105" i="12" s="1"/>
  <c r="H14" i="12"/>
  <c r="I14" i="12" s="1"/>
  <c r="H87" i="12"/>
  <c r="I87" i="12" s="1"/>
  <c r="H64" i="12"/>
  <c r="I64" i="12" s="1"/>
  <c r="H67" i="12"/>
  <c r="I67" i="12" s="1"/>
  <c r="H68" i="12"/>
  <c r="I68" i="12" s="1"/>
  <c r="H69" i="12"/>
  <c r="I69" i="12" s="1"/>
  <c r="H96" i="12"/>
  <c r="I96" i="12" s="1"/>
  <c r="H6" i="12"/>
  <c r="I6" i="12" s="1"/>
  <c r="H81" i="12"/>
  <c r="I81" i="12" s="1"/>
  <c r="H101" i="12"/>
  <c r="I101" i="12" s="1"/>
  <c r="H55" i="12"/>
  <c r="I55" i="12" s="1"/>
  <c r="H9" i="12"/>
  <c r="I9" i="12" s="1"/>
  <c r="H29" i="12"/>
  <c r="I29" i="12" s="1"/>
  <c r="H104" i="12"/>
  <c r="I104" i="12" s="1"/>
  <c r="H13" i="12"/>
  <c r="I13" i="12" s="1"/>
  <c r="H106" i="12"/>
  <c r="I106" i="12" s="1"/>
  <c r="H61" i="12"/>
  <c r="I61" i="12" s="1"/>
  <c r="H88" i="12"/>
  <c r="I88" i="12" s="1"/>
  <c r="H65" i="12"/>
  <c r="I65" i="12" s="1"/>
  <c r="H46" i="12"/>
  <c r="I46" i="12" s="1"/>
  <c r="H21" i="12"/>
  <c r="I21" i="12" s="1"/>
  <c r="H48" i="12"/>
  <c r="I48" i="12" s="1"/>
  <c r="H95" i="12"/>
  <c r="I95" i="12" s="1"/>
  <c r="H51" i="12"/>
  <c r="I51" i="12" s="1"/>
  <c r="H98" i="12"/>
  <c r="I98" i="12" s="1"/>
  <c r="H82" i="12"/>
  <c r="I82" i="12" s="1"/>
  <c r="H102" i="12"/>
  <c r="I102" i="12" s="1"/>
  <c r="H56" i="12"/>
  <c r="I56" i="12" s="1"/>
  <c r="H10" i="12"/>
  <c r="I10" i="12" s="1"/>
  <c r="H30" i="12"/>
  <c r="I30" i="12" s="1"/>
  <c r="H58" i="12"/>
  <c r="I58" i="12" s="1"/>
  <c r="H59" i="12"/>
  <c r="I59" i="12" s="1"/>
  <c r="H60" i="12"/>
  <c r="I60" i="12" s="1"/>
  <c r="H15" i="12"/>
  <c r="I15" i="12" s="1"/>
  <c r="H42" i="12"/>
  <c r="I42" i="12" s="1"/>
  <c r="H43" i="12"/>
  <c r="I43" i="12" s="1"/>
  <c r="H44" i="12"/>
  <c r="I44" i="12" s="1"/>
  <c r="H91" i="12"/>
  <c r="I91" i="12" s="1"/>
  <c r="H66" i="12"/>
  <c r="I66" i="12" s="1"/>
  <c r="H93" i="12"/>
  <c r="I93" i="12" s="1"/>
  <c r="H22" i="12"/>
  <c r="I22" i="12" s="1"/>
  <c r="H23" i="12"/>
  <c r="I23" i="12" s="1"/>
  <c r="H41" i="12"/>
  <c r="I41" i="12" s="1"/>
  <c r="H5" i="12"/>
  <c r="I5" i="12" s="1"/>
  <c r="H52" i="12"/>
  <c r="I52" i="12" s="1"/>
  <c r="H83" i="12"/>
  <c r="I83" i="12" s="1"/>
  <c r="H103" i="12"/>
  <c r="I103" i="12" s="1"/>
  <c r="H57" i="12"/>
  <c r="I57" i="12" s="1"/>
  <c r="H11" i="12"/>
  <c r="I11" i="12" s="1"/>
  <c r="H31" i="12"/>
  <c r="I31" i="12" s="1"/>
  <c r="H84" i="12"/>
  <c r="I84" i="12" s="1"/>
  <c r="H4" i="12"/>
  <c r="I4" i="12" s="1"/>
  <c r="H86" i="12"/>
  <c r="I86" i="12" s="1"/>
  <c r="H78" i="12"/>
  <c r="I78" i="12" s="1"/>
  <c r="H62" i="12"/>
  <c r="I62" i="12" s="1"/>
  <c r="H89" i="12"/>
  <c r="I89" i="12" s="1"/>
  <c r="H63" i="12"/>
  <c r="I63" i="12" s="1"/>
  <c r="H17" i="12"/>
  <c r="I17" i="12" s="1"/>
  <c r="H90" i="12"/>
  <c r="I90" i="12" s="1"/>
  <c r="H45" i="12"/>
  <c r="I45" i="12" s="1"/>
  <c r="H19" i="12"/>
  <c r="I19" i="12" s="1"/>
  <c r="H92" i="12"/>
  <c r="I92" i="12" s="1"/>
  <c r="H20" i="12"/>
  <c r="I20" i="12" s="1"/>
  <c r="H94" i="12"/>
  <c r="I94" i="12" s="1"/>
  <c r="H50" i="12"/>
  <c r="I50" i="12" s="1"/>
  <c r="H25" i="12"/>
  <c r="I25" i="12" s="1"/>
  <c r="H26" i="12"/>
  <c r="I26" i="12" s="1"/>
  <c r="H16" i="12"/>
  <c r="I16" i="12" s="1"/>
  <c r="H97" i="12"/>
  <c r="I97" i="12" s="1"/>
  <c r="L72" i="13"/>
  <c r="M72" i="13" s="1"/>
  <c r="N72" i="13" s="1"/>
  <c r="L71" i="13"/>
  <c r="M71" i="13" s="1"/>
  <c r="N71" i="13" s="1"/>
  <c r="L32" i="13"/>
  <c r="M32" i="13" s="1"/>
  <c r="N32" i="13" s="1"/>
  <c r="L18" i="13"/>
  <c r="M18" i="13" s="1"/>
  <c r="N18" i="13" s="1"/>
  <c r="L36" i="13"/>
  <c r="M36" i="13" s="1"/>
  <c r="N36" i="13" s="1"/>
  <c r="L68" i="13"/>
  <c r="M68" i="13" s="1"/>
  <c r="N68" i="13" s="1"/>
  <c r="L55" i="13"/>
  <c r="M55" i="13" s="1"/>
  <c r="N55" i="13" s="1"/>
  <c r="L51" i="13"/>
  <c r="M51" i="13" s="1"/>
  <c r="N51" i="13" s="1"/>
  <c r="L15" i="13"/>
  <c r="M15" i="13" s="1"/>
  <c r="N15" i="13" s="1"/>
  <c r="L17" i="13"/>
  <c r="M17" i="13" s="1"/>
  <c r="N17" i="13" s="1"/>
  <c r="L9" i="13"/>
  <c r="M9" i="13" s="1"/>
  <c r="N9" i="13" s="1"/>
  <c r="L39" i="13"/>
  <c r="M39" i="13" s="1"/>
  <c r="N39" i="13" s="1"/>
  <c r="L73" i="13"/>
  <c r="M73" i="13" s="1"/>
  <c r="N73" i="13" s="1"/>
  <c r="L61" i="13"/>
  <c r="M61" i="13" s="1"/>
  <c r="N61" i="13" s="1"/>
  <c r="L62" i="13"/>
  <c r="M62" i="13" s="1"/>
  <c r="N62" i="13" s="1"/>
  <c r="L69" i="13"/>
  <c r="M69" i="13" s="1"/>
  <c r="N69" i="13" s="1"/>
  <c r="L23" i="13"/>
  <c r="M23" i="13" s="1"/>
  <c r="N23" i="13" s="1"/>
  <c r="L63" i="13"/>
  <c r="M63" i="13" s="1"/>
  <c r="N63" i="13" s="1"/>
  <c r="L43" i="13"/>
  <c r="M43" i="13" s="1"/>
  <c r="N43" i="13" s="1"/>
  <c r="L65" i="13"/>
  <c r="M65" i="13" s="1"/>
  <c r="N65" i="13" s="1"/>
  <c r="L30" i="13"/>
  <c r="M30" i="13" s="1"/>
  <c r="N30" i="13" s="1"/>
  <c r="L26" i="13"/>
  <c r="M26" i="13" s="1"/>
  <c r="N26" i="13" s="1"/>
  <c r="L7" i="13"/>
  <c r="M7" i="13" s="1"/>
  <c r="N7" i="13" s="1"/>
  <c r="L27" i="13"/>
  <c r="M27" i="13" s="1"/>
  <c r="N27" i="13" s="1"/>
  <c r="L31" i="13"/>
  <c r="M31" i="13" s="1"/>
  <c r="N31" i="13" s="1"/>
  <c r="L75" i="13"/>
  <c r="M75" i="13" s="1"/>
  <c r="N75" i="13" s="1"/>
  <c r="L53" i="13"/>
  <c r="M53" i="13" s="1"/>
  <c r="N53" i="13" s="1"/>
  <c r="L56" i="13"/>
  <c r="M56" i="13" s="1"/>
  <c r="N56" i="13" s="1"/>
  <c r="L12" i="13"/>
  <c r="M12" i="13" s="1"/>
  <c r="N12" i="13" s="1"/>
  <c r="L60" i="13"/>
  <c r="M60" i="13" s="1"/>
  <c r="N60" i="13" s="1"/>
  <c r="L8" i="13"/>
  <c r="M8" i="13" s="1"/>
  <c r="N8" i="13" s="1"/>
  <c r="L52" i="13"/>
  <c r="M52" i="13" s="1"/>
  <c r="N52" i="13" s="1"/>
  <c r="L37" i="13"/>
  <c r="M37" i="13" s="1"/>
  <c r="N37" i="13" s="1"/>
  <c r="L13" i="13"/>
  <c r="M13" i="13" s="1"/>
  <c r="N13" i="13" s="1"/>
  <c r="L48" i="13"/>
  <c r="M48" i="13" s="1"/>
  <c r="N48" i="13" s="1"/>
  <c r="L67" i="13"/>
  <c r="M67" i="13" s="1"/>
  <c r="N67" i="13" s="1"/>
  <c r="L28" i="13"/>
  <c r="M28" i="13" s="1"/>
  <c r="N28" i="13" s="1"/>
  <c r="L41" i="13"/>
  <c r="M41" i="13" s="1"/>
  <c r="N41" i="13" s="1"/>
  <c r="L34" i="13"/>
  <c r="M34" i="13" s="1"/>
  <c r="N34" i="13" s="1"/>
  <c r="L21" i="13"/>
  <c r="M21" i="13" s="1"/>
  <c r="N21" i="13" s="1"/>
  <c r="L14" i="13"/>
  <c r="M14" i="13" s="1"/>
  <c r="N14" i="13" s="1"/>
  <c r="L74" i="13"/>
  <c r="M74" i="13" s="1"/>
  <c r="N74" i="13" s="1"/>
  <c r="L22" i="13"/>
  <c r="M22" i="13" s="1"/>
  <c r="N22" i="13" s="1"/>
  <c r="L59" i="13"/>
  <c r="M59" i="13" s="1"/>
  <c r="N59" i="13" s="1"/>
  <c r="L29" i="13"/>
  <c r="M29" i="13" s="1"/>
  <c r="N29" i="13" s="1"/>
  <c r="L54" i="13"/>
  <c r="M54" i="13" s="1"/>
  <c r="N54" i="13" s="1"/>
  <c r="L16" i="13"/>
  <c r="M16" i="13" s="1"/>
  <c r="N16" i="13" s="1"/>
  <c r="L42" i="13"/>
  <c r="M42" i="13" s="1"/>
  <c r="N42" i="13" s="1"/>
  <c r="L46" i="13"/>
  <c r="M46" i="13" s="1"/>
  <c r="N46" i="13" s="1"/>
  <c r="L49" i="13"/>
  <c r="M49" i="13" s="1"/>
  <c r="N49" i="13" s="1"/>
  <c r="L66" i="13"/>
  <c r="M66" i="13" s="1"/>
  <c r="N66" i="13" s="1"/>
  <c r="L20" i="13"/>
  <c r="M20" i="13" s="1"/>
  <c r="N20" i="13" s="1"/>
  <c r="L24" i="13"/>
  <c r="M24" i="13" s="1"/>
  <c r="N24" i="13" s="1"/>
  <c r="L64" i="13"/>
  <c r="M64" i="13" s="1"/>
  <c r="N64" i="13" s="1"/>
  <c r="L33" i="13"/>
  <c r="M33" i="13" s="1"/>
  <c r="N33" i="13" s="1"/>
  <c r="L40" i="13"/>
  <c r="M40" i="13" s="1"/>
  <c r="N40" i="13" s="1"/>
  <c r="L50" i="13"/>
  <c r="M50" i="13" s="1"/>
  <c r="N50" i="13" s="1"/>
  <c r="L35" i="13"/>
  <c r="M35" i="13" s="1"/>
  <c r="N35" i="13" s="1"/>
  <c r="L10" i="13"/>
  <c r="M10" i="13" s="1"/>
  <c r="N10" i="13" s="1"/>
  <c r="L57" i="13"/>
  <c r="M57" i="13" s="1"/>
  <c r="N57" i="13" s="1"/>
  <c r="H64" i="7"/>
  <c r="J65" i="7" s="1"/>
  <c r="F91" i="7"/>
  <c r="F92" i="7" s="1"/>
  <c r="G50" i="7"/>
  <c r="I223" i="12" l="1"/>
  <c r="I185" i="12"/>
  <c r="I146" i="12"/>
  <c r="I107" i="12"/>
  <c r="I110" i="12" s="1"/>
  <c r="I111" i="12"/>
  <c r="I37" i="12"/>
  <c r="I74" i="12"/>
  <c r="I33" i="12"/>
  <c r="O5" i="13"/>
  <c r="C68" i="7" s="1"/>
  <c r="F81" i="7" s="1"/>
  <c r="I70" i="12"/>
  <c r="F80" i="7" l="1"/>
  <c r="F82" i="7" s="1"/>
  <c r="I148" i="12"/>
  <c r="I147" i="12"/>
  <c r="I149" i="12"/>
  <c r="I187" i="12"/>
  <c r="I186" i="12"/>
  <c r="I188" i="12"/>
  <c r="I226" i="12"/>
  <c r="I224" i="12"/>
  <c r="I225" i="12"/>
  <c r="I73" i="12"/>
  <c r="F84" i="7"/>
  <c r="I36" i="12"/>
  <c r="I35" i="12"/>
  <c r="I34" i="12"/>
  <c r="I108" i="12"/>
  <c r="I109" i="12"/>
  <c r="I72" i="12"/>
  <c r="I71" i="12"/>
  <c r="F87" i="7" l="1"/>
  <c r="F85" i="7"/>
  <c r="F86"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<sst xmlns="http://schemas.openxmlformats.org/spreadsheetml/2006/main" count="593" uniqueCount="278">
  <si>
    <t>Residential Development - Drainage Soakwell Capacity Calculator</t>
  </si>
  <si>
    <t>This Excel worksheet is designed to simplify and streamline drainage calculations for residential projects. It uses a color-coded system and specific input fields to ensure accurate results. Here’s an overview of the interface, functionality, and usage instructions.</t>
  </si>
  <si>
    <t xml:space="preserve">1. Site Details </t>
  </si>
  <si>
    <t>Address</t>
  </si>
  <si>
    <t>PROPOSED</t>
  </si>
  <si>
    <t>EXISTING</t>
  </si>
  <si>
    <r>
      <t xml:space="preserve">Roof area  </t>
    </r>
    <r>
      <rPr>
        <i/>
        <sz val="11"/>
        <color theme="1"/>
        <rFont val="Aptos Narrow"/>
        <family val="2"/>
        <scheme val="minor"/>
      </rPr>
      <t>(Must be connected to Soakwell or Rainwater Tank)</t>
    </r>
  </si>
  <si>
    <t>m²</t>
  </si>
  <si>
    <r>
      <t xml:space="preserve">Impervious Paved Area </t>
    </r>
    <r>
      <rPr>
        <i/>
        <sz val="11"/>
        <color theme="1"/>
        <rFont val="Aptos Narrow"/>
        <family val="2"/>
        <scheme val="minor"/>
      </rPr>
      <t>(Intended for soakwell connection)</t>
    </r>
  </si>
  <si>
    <t>Color-Coding System</t>
  </si>
  <si>
    <t>Total Impervious Paved Area</t>
  </si>
  <si>
    <t>INPUT</t>
  </si>
  <si>
    <t>User input fields. These require data entry</t>
  </si>
  <si>
    <t>Total Pervious Area</t>
  </si>
  <si>
    <t>CALCULATED VALUE</t>
  </si>
  <si>
    <t>Calculated values that update based on inputs.</t>
  </si>
  <si>
    <t>Total Site Area</t>
  </si>
  <si>
    <t>INACTIVE</t>
  </si>
  <si>
    <t>Inactive or error indicators.</t>
  </si>
  <si>
    <t>REQUIRED VOLUME</t>
  </si>
  <si>
    <t>Site above the street level?</t>
  </si>
  <si>
    <t>YES</t>
  </si>
  <si>
    <t>CHECK</t>
  </si>
  <si>
    <t>Permission to connect to the council drainage?</t>
  </si>
  <si>
    <t>Initial Setup</t>
  </si>
  <si>
    <t>Before using the worksheet for calculations, start with the following steps:</t>
  </si>
  <si>
    <t>Note: Inflow volume is based on impervious area. The Applicant is required to calculate total impervious area as an input.</t>
  </si>
  <si>
    <r>
      <rPr>
        <b/>
        <sz val="11"/>
        <color theme="1"/>
        <rFont val="Aptos Narrow"/>
        <family val="2"/>
        <scheme val="minor"/>
      </rPr>
      <t>1) Site Details</t>
    </r>
    <r>
      <rPr>
        <sz val="11"/>
        <color theme="1"/>
        <rFont val="Aptos Narrow"/>
        <family val="2"/>
        <scheme val="minor"/>
      </rPr>
      <t>: Enter specific information about the project site.</t>
    </r>
  </si>
  <si>
    <t>Do not include paved areas that drain into gardens or lawn areas.</t>
  </si>
  <si>
    <r>
      <rPr>
        <b/>
        <sz val="11"/>
        <color theme="1"/>
        <rFont val="Aptos Narrow"/>
        <family val="2"/>
        <scheme val="minor"/>
      </rPr>
      <t xml:space="preserve">2) Soil Type and Rainfall Duration: </t>
    </r>
    <r>
      <rPr>
        <sz val="11"/>
        <color theme="1"/>
        <rFont val="Aptos Narrow"/>
        <family val="2"/>
        <scheme val="minor"/>
      </rPr>
      <t>Select the soil type and appropriate design rainfall duration.</t>
    </r>
  </si>
  <si>
    <t xml:space="preserve">2. Soil Property </t>
  </si>
  <si>
    <r>
      <t xml:space="preserve">3) Design ARI: </t>
    </r>
    <r>
      <rPr>
        <sz val="11"/>
        <color theme="1"/>
        <rFont val="Aptos Narrow"/>
        <family val="2"/>
        <scheme val="minor"/>
      </rPr>
      <t>Based on the site details, soil, and rainfall duration, the worksheet will automatically determine the Design ARI</t>
    </r>
  </si>
  <si>
    <t xml:space="preserve">Soil type </t>
  </si>
  <si>
    <t>Sand</t>
  </si>
  <si>
    <t>Select soil type</t>
  </si>
  <si>
    <t>Saturated Hydraulic Conductivity, Kh</t>
  </si>
  <si>
    <t>m/sec</t>
  </si>
  <si>
    <t>Soil Moderation Factor, U</t>
  </si>
  <si>
    <t xml:space="preserve">3 .Rainfall Data </t>
  </si>
  <si>
    <t>Design Conditions</t>
  </si>
  <si>
    <t xml:space="preserve">Design ARI </t>
  </si>
  <si>
    <t>Year</t>
  </si>
  <si>
    <r>
      <rPr>
        <b/>
        <sz val="10"/>
        <color theme="1"/>
        <rFont val="Aptos Narrow"/>
        <family val="2"/>
        <scheme val="minor"/>
      </rPr>
      <t xml:space="preserve">Soil Type </t>
    </r>
    <r>
      <rPr>
        <sz val="10"/>
        <color theme="1"/>
        <rFont val="Aptos Narrow"/>
        <family val="2"/>
        <scheme val="minor"/>
      </rPr>
      <t xml:space="preserve">= </t>
    </r>
    <r>
      <rPr>
        <b/>
        <sz val="10"/>
        <color theme="1"/>
        <rFont val="Aptos Narrow"/>
        <family val="2"/>
        <scheme val="minor"/>
      </rPr>
      <t>"Sand"</t>
    </r>
    <r>
      <rPr>
        <sz val="10"/>
        <color theme="1"/>
        <rFont val="Aptos Narrow"/>
        <family val="2"/>
        <scheme val="minor"/>
      </rPr>
      <t xml:space="preserve"> and </t>
    </r>
    <r>
      <rPr>
        <b/>
        <sz val="10"/>
        <color theme="1"/>
        <rFont val="Aptos Narrow"/>
        <family val="2"/>
        <scheme val="minor"/>
      </rPr>
      <t>Site Above Street Level</t>
    </r>
    <r>
      <rPr>
        <sz val="10"/>
        <color theme="1"/>
        <rFont val="Aptos Narrow"/>
        <family val="2"/>
        <scheme val="minor"/>
      </rPr>
      <t xml:space="preserve"> =</t>
    </r>
    <r>
      <rPr>
        <b/>
        <sz val="10"/>
        <color theme="1"/>
        <rFont val="Aptos Narrow"/>
        <family val="2"/>
        <scheme val="minor"/>
      </rPr>
      <t xml:space="preserve"> "YES" 
</t>
    </r>
    <r>
      <rPr>
        <sz val="10"/>
        <color theme="1"/>
        <rFont val="Aptos Narrow"/>
        <family val="2"/>
        <scheme val="minor"/>
      </rPr>
      <t xml:space="preserve">→ Design ARI Years (F25) = </t>
    </r>
    <r>
      <rPr>
        <b/>
        <i/>
        <sz val="10"/>
        <color theme="1"/>
        <rFont val="Aptos Narrow"/>
        <family val="2"/>
        <scheme val="minor"/>
      </rPr>
      <t>2 years</t>
    </r>
  </si>
  <si>
    <t>Design Rainfall Duration</t>
  </si>
  <si>
    <t>min</t>
  </si>
  <si>
    <t>Design Rainfall Intensity</t>
  </si>
  <si>
    <t>mm/hr</t>
  </si>
  <si>
    <r>
      <rPr>
        <b/>
        <sz val="10"/>
        <color theme="1"/>
        <rFont val="Aptos Narrow"/>
        <family val="2"/>
        <scheme val="minor"/>
      </rPr>
      <t>Soil Type</t>
    </r>
    <r>
      <rPr>
        <sz val="10"/>
        <color theme="1"/>
        <rFont val="Aptos Narrow"/>
        <family val="2"/>
        <scheme val="minor"/>
      </rPr>
      <t xml:space="preserve"> ≠</t>
    </r>
    <r>
      <rPr>
        <b/>
        <sz val="10"/>
        <color theme="1"/>
        <rFont val="Aptos Narrow"/>
        <family val="2"/>
        <scheme val="minor"/>
      </rPr>
      <t xml:space="preserve"> "Sand"</t>
    </r>
    <r>
      <rPr>
        <sz val="10"/>
        <color theme="1"/>
        <rFont val="Aptos Narrow"/>
        <family val="2"/>
        <scheme val="minor"/>
      </rPr>
      <t xml:space="preserve"> and </t>
    </r>
    <r>
      <rPr>
        <b/>
        <sz val="10"/>
        <color theme="1"/>
        <rFont val="Aptos Narrow"/>
        <family val="2"/>
        <scheme val="minor"/>
      </rPr>
      <t xml:space="preserve">Site Above Street Level </t>
    </r>
    <r>
      <rPr>
        <sz val="10"/>
        <color theme="1"/>
        <rFont val="Aptos Narrow"/>
        <family val="2"/>
        <scheme val="minor"/>
      </rPr>
      <t>=</t>
    </r>
    <r>
      <rPr>
        <b/>
        <sz val="10"/>
        <color theme="1"/>
        <rFont val="Aptos Narrow"/>
        <family val="2"/>
        <scheme val="minor"/>
      </rPr>
      <t xml:space="preserve"> "YES"</t>
    </r>
    <r>
      <rPr>
        <sz val="10"/>
        <color theme="1"/>
        <rFont val="Aptos Narrow"/>
        <family val="2"/>
        <scheme val="minor"/>
      </rPr>
      <t xml:space="preserve"> 
→ Design ARI Years (F25) = </t>
    </r>
    <r>
      <rPr>
        <b/>
        <i/>
        <sz val="10"/>
        <color theme="1"/>
        <rFont val="Aptos Narrow"/>
        <family val="2"/>
        <scheme val="minor"/>
      </rPr>
      <t>20 years</t>
    </r>
  </si>
  <si>
    <r>
      <rPr>
        <b/>
        <sz val="10"/>
        <color theme="1"/>
        <rFont val="Aptos Narrow"/>
        <family val="2"/>
        <scheme val="minor"/>
      </rPr>
      <t xml:space="preserve">Site Above Street Level </t>
    </r>
    <r>
      <rPr>
        <sz val="10"/>
        <color theme="1"/>
        <rFont val="Aptos Narrow"/>
        <family val="2"/>
        <scheme val="minor"/>
      </rPr>
      <t xml:space="preserve"> = </t>
    </r>
    <r>
      <rPr>
        <b/>
        <sz val="10"/>
        <color theme="1"/>
        <rFont val="Aptos Narrow"/>
        <family val="2"/>
        <scheme val="minor"/>
      </rPr>
      <t xml:space="preserve">"NO"  </t>
    </r>
    <r>
      <rPr>
        <i/>
        <sz val="10"/>
        <color theme="1"/>
        <rFont val="Aptos Narrow"/>
        <family val="2"/>
        <scheme val="minor"/>
      </rPr>
      <t>(ponding)</t>
    </r>
    <r>
      <rPr>
        <sz val="10"/>
        <color theme="1"/>
        <rFont val="Aptos Narrow"/>
        <family val="2"/>
        <scheme val="minor"/>
      </rPr>
      <t xml:space="preserve">
→ Design ARI Years (F25) =</t>
    </r>
    <r>
      <rPr>
        <b/>
        <i/>
        <sz val="10"/>
        <color theme="1"/>
        <rFont val="Aptos Narrow"/>
        <family val="2"/>
        <scheme val="minor"/>
      </rPr>
      <t xml:space="preserve"> 100 years</t>
    </r>
  </si>
  <si>
    <t>4. Surface Runoff Coefficient</t>
  </si>
  <si>
    <t xml:space="preserve">Roof - Runoff Coefficient </t>
  </si>
  <si>
    <t>(default)</t>
  </si>
  <si>
    <t xml:space="preserve">Impervious Paved Area - Runoff Coefficient </t>
  </si>
  <si>
    <t xml:space="preserve">Pervious Area - Runoff Coefficient </t>
  </si>
  <si>
    <t>(calculated)</t>
  </si>
  <si>
    <r>
      <rPr>
        <i/>
        <sz val="11"/>
        <color theme="5" tint="-0.249977111117893"/>
        <rFont val="Aptos Narrow"/>
        <family val="2"/>
        <scheme val="minor"/>
      </rPr>
      <t xml:space="preserve">Refer to </t>
    </r>
    <r>
      <rPr>
        <b/>
        <i/>
        <sz val="11"/>
        <color theme="5" tint="-0.249977111117893"/>
        <rFont val="Aptos Narrow"/>
        <family val="2"/>
        <scheme val="minor"/>
      </rPr>
      <t>Design Parameters</t>
    </r>
    <r>
      <rPr>
        <i/>
        <sz val="11"/>
        <color theme="5" tint="-0.249977111117893"/>
        <rFont val="Aptos Narrow"/>
        <family val="2"/>
        <scheme val="minor"/>
      </rPr>
      <t xml:space="preserve"> for further details.</t>
    </r>
  </si>
  <si>
    <t>5. Inflow Volume Calculation</t>
  </si>
  <si>
    <t>Design Duration (mins)</t>
  </si>
  <si>
    <t>Design Duration (secs)</t>
  </si>
  <si>
    <t>sec</t>
  </si>
  <si>
    <t>Design Intensity (mm/hr)</t>
  </si>
  <si>
    <t>Peak Flow (l/s)</t>
  </si>
  <si>
    <t>l/s</t>
  </si>
  <si>
    <t>Inflow Volume(m3)</t>
  </si>
  <si>
    <t>m3</t>
  </si>
  <si>
    <t xml:space="preserve">6. Soakwell Selection </t>
  </si>
  <si>
    <t>Select the diameter, depth and the number of soakwell in the table below:</t>
  </si>
  <si>
    <t>ON/OFF</t>
  </si>
  <si>
    <t>Diameter D (m)</t>
  </si>
  <si>
    <t>Depth H (m)</t>
  </si>
  <si>
    <t>Number of Soakwell</t>
  </si>
  <si>
    <t>Total Base Area (m2)</t>
  </si>
  <si>
    <t>Outflow Rate(m3/s)</t>
  </si>
  <si>
    <t>Total Provided Volume(m3)</t>
  </si>
  <si>
    <t>Emptying Time (hour)</t>
  </si>
  <si>
    <t>Option 1</t>
  </si>
  <si>
    <t>OFF</t>
  </si>
  <si>
    <t>Option 2</t>
  </si>
  <si>
    <t>ON</t>
  </si>
  <si>
    <t>Option 3</t>
  </si>
  <si>
    <t>Total=</t>
  </si>
  <si>
    <t>(Critical Emptying Time)</t>
  </si>
  <si>
    <r>
      <rPr>
        <b/>
        <i/>
        <u/>
        <sz val="11"/>
        <color theme="1"/>
        <rFont val="Aptos Narrow"/>
        <family val="2"/>
        <scheme val="minor"/>
      </rPr>
      <t>Note</t>
    </r>
    <r>
      <rPr>
        <b/>
        <i/>
        <sz val="11"/>
        <color theme="1"/>
        <rFont val="Aptos Narrow"/>
        <family val="2"/>
        <scheme val="minor"/>
      </rPr>
      <t xml:space="preserve">: Sandy Clay, Medium Clay and Heavy Clay must connected to council's drainage system via </t>
    </r>
    <r>
      <rPr>
        <b/>
        <i/>
        <u/>
        <sz val="11"/>
        <color theme="1"/>
        <rFont val="Aptos Narrow"/>
        <family val="2"/>
        <scheme val="minor"/>
      </rPr>
      <t>OSD Pit</t>
    </r>
  </si>
  <si>
    <t xml:space="preserve">7. Rainwater Tank Selection </t>
  </si>
  <si>
    <t>Select specifications of rainwater tank in the table below:</t>
  </si>
  <si>
    <t>Capacity (L)</t>
  </si>
  <si>
    <t>Detention Volume (L)</t>
  </si>
  <si>
    <t>Number of Rainwater Tanks</t>
  </si>
  <si>
    <t>Provided 
Detention Volume
(m3)</t>
  </si>
  <si>
    <t>8. OSD Calculation</t>
  </si>
  <si>
    <t>Select dimensions for OSD Pit below:</t>
  </si>
  <si>
    <t>OSD PIT ON/OFF</t>
  </si>
  <si>
    <t>Width (mm)</t>
  </si>
  <si>
    <t>Length (mm)</t>
  </si>
  <si>
    <t>Depth (mm)</t>
  </si>
  <si>
    <t>Provided Detention Volume (m3)</t>
  </si>
  <si>
    <t>Discharge Rate (L/s)</t>
  </si>
  <si>
    <t>Detention Depth Δz (m)</t>
  </si>
  <si>
    <t>C_d</t>
  </si>
  <si>
    <t>PSD ARI Years, 5 minutes</t>
  </si>
  <si>
    <t xml:space="preserve">Orifice D (mm) </t>
  </si>
  <si>
    <t>OSD ARI Years, 5 minutes</t>
  </si>
  <si>
    <t>OSD Discharge Flowrate</t>
  </si>
  <si>
    <t>L/s</t>
  </si>
  <si>
    <t xml:space="preserve">Note: Detention depth refers to the difference </t>
  </si>
  <si>
    <t>Required OSD Storage</t>
  </si>
  <si>
    <t xml:space="preserve">between the top level of the baffle wall </t>
  </si>
  <si>
    <t>and the level of the orifice.</t>
  </si>
  <si>
    <t xml:space="preserve">Soakwell Storage </t>
  </si>
  <si>
    <t>``</t>
  </si>
  <si>
    <t>Rainwater Tank Detention Storage</t>
  </si>
  <si>
    <t>OSD Pit Detention Storage</t>
  </si>
  <si>
    <t>Storage Volume Provided</t>
  </si>
  <si>
    <t>Detention Volume Required, 5 Minutes Duration</t>
  </si>
  <si>
    <t>TOTAL STORAGE REQUIRED</t>
  </si>
  <si>
    <t>Maximum Storage Volume Reuqired</t>
  </si>
  <si>
    <t>Critical Duration</t>
  </si>
  <si>
    <t>Critical Intensity</t>
  </si>
  <si>
    <t>Critical Flow Rate</t>
  </si>
  <si>
    <t>m3/s</t>
  </si>
  <si>
    <t>Critical Emptying Time</t>
  </si>
  <si>
    <t>hour</t>
  </si>
  <si>
    <t>11.Emptying Time Calculation</t>
  </si>
  <si>
    <t xml:space="preserve">Emptying Time </t>
  </si>
  <si>
    <t>hours</t>
  </si>
  <si>
    <t xml:space="preserve">Emptying Time Criteria </t>
  </si>
  <si>
    <t>days</t>
  </si>
  <si>
    <t xml:space="preserve">2 Year ARI </t>
  </si>
  <si>
    <t>Days</t>
  </si>
  <si>
    <t xml:space="preserve">20 Year ARI </t>
  </si>
  <si>
    <t>100 Year ARI</t>
  </si>
  <si>
    <t>Site Location</t>
  </si>
  <si>
    <t>Location=</t>
  </si>
  <si>
    <t>DON’T CHANGE THE VALUES BELOW</t>
  </si>
  <si>
    <t>Latitude=</t>
  </si>
  <si>
    <t>Longitude=</t>
  </si>
  <si>
    <t>Duration (min)</t>
  </si>
  <si>
    <t>BOM-Rainfall Data (mm/hr)</t>
  </si>
  <si>
    <t>http://www.bom.gov.au/water/designRainfalls/revised-ifd/</t>
  </si>
  <si>
    <t>Annual Exceedance Probability (AEP)</t>
  </si>
  <si>
    <t>ARI</t>
  </si>
  <si>
    <t>Duration</t>
  </si>
  <si>
    <t>1 min</t>
  </si>
  <si>
    <t>2 min</t>
  </si>
  <si>
    <t>3 min</t>
  </si>
  <si>
    <t>4 min</t>
  </si>
  <si>
    <t>5 min</t>
  </si>
  <si>
    <t>10 min</t>
  </si>
  <si>
    <t>15 min</t>
  </si>
  <si>
    <t>20 min</t>
  </si>
  <si>
    <t>25 min</t>
  </si>
  <si>
    <t>30 min</t>
  </si>
  <si>
    <t>45 min</t>
  </si>
  <si>
    <t>1 hour</t>
  </si>
  <si>
    <t>1.5 hour</t>
  </si>
  <si>
    <t>2 hour</t>
  </si>
  <si>
    <t>3 hour</t>
  </si>
  <si>
    <t>4.5 hour</t>
  </si>
  <si>
    <t>6 hour</t>
  </si>
  <si>
    <t>9 hour</t>
  </si>
  <si>
    <t>12 hour</t>
  </si>
  <si>
    <t>18 hour</t>
  </si>
  <si>
    <t>24 hour</t>
  </si>
  <si>
    <t>30 hour</t>
  </si>
  <si>
    <t>36 hour</t>
  </si>
  <si>
    <t>48 hour</t>
  </si>
  <si>
    <t>72 hour</t>
  </si>
  <si>
    <t>96 hour</t>
  </si>
  <si>
    <t>120 hour</t>
  </si>
  <si>
    <t>144 hour</t>
  </si>
  <si>
    <t>168 hour</t>
  </si>
  <si>
    <t>1.Site &amp; Soil Properties</t>
  </si>
  <si>
    <t>Sandy Clay</t>
  </si>
  <si>
    <t>Medium Clay</t>
  </si>
  <si>
    <t>Heavy Clay</t>
  </si>
  <si>
    <t>Custom</t>
  </si>
  <si>
    <t xml:space="preserve"> Reference: WSUD Guidleines Infiltration Measures Chp 10 </t>
  </si>
  <si>
    <t>SITE ABOVE THE STREET LEVEL</t>
  </si>
  <si>
    <t>NO</t>
  </si>
  <si>
    <t>2. Rainfall Data</t>
  </si>
  <si>
    <t>Design Duration</t>
  </si>
  <si>
    <t>3. Surface Runoff Coefficient</t>
  </si>
  <si>
    <t>Surface Runoff Coefficient</t>
  </si>
  <si>
    <t>Impervious Paved Area</t>
  </si>
  <si>
    <t>Roof Area</t>
  </si>
  <si>
    <t>add reff</t>
  </si>
  <si>
    <t>4. Volume Calculation</t>
  </si>
  <si>
    <t>5. Soakwell</t>
  </si>
  <si>
    <t>Diamter(m)</t>
  </si>
  <si>
    <t>Depth(m)</t>
  </si>
  <si>
    <t>6. Rainwater Tank</t>
  </si>
  <si>
    <t>Number of RWTs</t>
  </si>
  <si>
    <t>7. OSD Calculation</t>
  </si>
  <si>
    <t>Dimensions W/L</t>
  </si>
  <si>
    <t>OSD DEPTH</t>
  </si>
  <si>
    <t>Orifice Calculation:</t>
  </si>
  <si>
    <t>Using Bernoulli's Equation from the top of the weir wall (exposed to air and no velocity) to the base of Soakwell</t>
  </si>
  <si>
    <t>𝐶_𝑑 (discharge coefficient)</t>
  </si>
  <si>
    <t>Options</t>
  </si>
  <si>
    <t>Choosen</t>
  </si>
  <si>
    <t>Sharp-edged orifice:</t>
  </si>
  <si>
    <t>0.62 to 0.98</t>
  </si>
  <si>
    <t>Square-edged orifice:</t>
  </si>
  <si>
    <t>Thick plate-square edge</t>
  </si>
  <si>
    <t>0.86 to 0.99</t>
  </si>
  <si>
    <t>Rounded nozzle:</t>
  </si>
  <si>
    <t xml:space="preserve"> 0.98 to 1.00</t>
  </si>
  <si>
    <t>8. Emptying Time</t>
  </si>
  <si>
    <t>PSD ARI</t>
  </si>
  <si>
    <t>(default 5)</t>
  </si>
  <si>
    <t>OSD ARI</t>
  </si>
  <si>
    <t>(defult 10)</t>
  </si>
  <si>
    <t>SOIL TYPE</t>
  </si>
  <si>
    <t>(L/s)</t>
  </si>
  <si>
    <t>DURATION</t>
  </si>
  <si>
    <t>ROOF 
COEFFICIENT</t>
  </si>
  <si>
    <t>IMPERVIOUS 
COEFFICIENT</t>
  </si>
  <si>
    <t>PERVIOUS 
COEFFICIENT</t>
  </si>
  <si>
    <t>TOTAL AREA 
TO OSD</t>
  </si>
  <si>
    <t>PROPOSED 
ROOF AREA</t>
  </si>
  <si>
    <t>PROPOSED IMPERVIOUS 
PAVED
AREA</t>
  </si>
  <si>
    <t>PROPOSED
PERVIOUS 
AREA</t>
  </si>
  <si>
    <t>ACTUAL 
DISCHARGE
(POST-DEV)</t>
  </si>
  <si>
    <t>ACTUAL 
DISCHARGE 
VOLUME</t>
  </si>
  <si>
    <t>OSD 
FLOW RATE
(PRE-DEV)</t>
  </si>
  <si>
    <t>OSD 
DISCHARGE 
VOLUME</t>
  </si>
  <si>
    <t>REQUIRED 
OSD 
STORAGE</t>
  </si>
  <si>
    <t>Cr</t>
  </si>
  <si>
    <t>Ci</t>
  </si>
  <si>
    <t>Cp</t>
  </si>
  <si>
    <t>m2</t>
  </si>
  <si>
    <t>Calculate Inflow Volume</t>
  </si>
  <si>
    <t>Intensity</t>
  </si>
  <si>
    <t>Duration (secs)</t>
  </si>
  <si>
    <t>Inflow Volume(L)</t>
  </si>
  <si>
    <t>Outflow Volume(m3)
(Soakwell)</t>
  </si>
  <si>
    <t>Storage Required (m3)</t>
  </si>
  <si>
    <t>Max Storage =</t>
  </si>
  <si>
    <t>(m3)</t>
  </si>
  <si>
    <t>Critical Duration=</t>
  </si>
  <si>
    <t>Critical Intensity=</t>
  </si>
  <si>
    <t>Critical Flow Rate=</t>
  </si>
  <si>
    <t>(l/s)</t>
  </si>
  <si>
    <t>5% Intensity</t>
  </si>
  <si>
    <t xml:space="preserve">100 Year ARI </t>
  </si>
  <si>
    <t>1% Intensity</t>
  </si>
  <si>
    <t>Outflow Volume(m3)</t>
  </si>
  <si>
    <t xml:space="preserve"> Reference: Stormwater Management Manual - Chapter 9 - Structural Controls</t>
  </si>
  <si>
    <t xml:space="preserve"> Reference: ASNZS3500.3 Plumbing and Drainage</t>
  </si>
  <si>
    <t>%</t>
  </si>
  <si>
    <t xml:space="preserve">10 Year ARI </t>
  </si>
  <si>
    <t xml:space="preserve">50 Year ARI </t>
  </si>
  <si>
    <t xml:space="preserve">5 Year ARI </t>
  </si>
  <si>
    <t>Instructions</t>
  </si>
  <si>
    <t>Calculate your roof area here</t>
  </si>
  <si>
    <t>Any areas of your property where water will not soak in. E.g. concrete or paving</t>
  </si>
  <si>
    <t>Total size of your property</t>
  </si>
  <si>
    <t>Is your property above street level?</t>
  </si>
  <si>
    <t>Please select your proposed soakwell size and number.</t>
  </si>
  <si>
    <t>How many soakwells are you planning to install and what size?</t>
  </si>
  <si>
    <t>If you are using more than one size soakwell, please add your additonal sizes below</t>
  </si>
  <si>
    <t>This calculation shows your soakwell storage total capacity based on the size and number you have selected</t>
  </si>
  <si>
    <r>
      <t xml:space="preserve">If highlighted </t>
    </r>
    <r>
      <rPr>
        <sz val="15"/>
        <color rgb="FF92D050"/>
        <rFont val="Arial"/>
        <family val="2"/>
      </rPr>
      <t>GREEN</t>
    </r>
    <r>
      <rPr>
        <sz val="15"/>
        <color theme="1"/>
        <rFont val="Arial"/>
        <family val="2"/>
      </rPr>
      <t xml:space="preserve"> you have provided compliant storage requirements for your site</t>
    </r>
  </si>
  <si>
    <r>
      <t xml:space="preserve">If highlighted </t>
    </r>
    <r>
      <rPr>
        <sz val="15"/>
        <color rgb="FFFF0000"/>
        <rFont val="Arial"/>
        <family val="2"/>
      </rPr>
      <t>RED</t>
    </r>
    <r>
      <rPr>
        <sz val="15"/>
        <color theme="1"/>
        <rFont val="Arial"/>
        <family val="2"/>
      </rPr>
      <t xml:space="preserve"> please increase your soakwell size and/or number to accommodate compliant storage</t>
    </r>
  </si>
  <si>
    <t>This TOTAL STORAGE REQUIRED is based on the site details provided</t>
  </si>
  <si>
    <t> DISCLAIMER: The information provided is not intended to be a substitute for professional advice, diagnosis, or treatment from a qualified engineer. It does not take into account your specific project requirements, personal circumstances, soil types or hydraulic conductivity. You should not rely on this information without first seeking independent verification and assessment from a licensed and qualified engineer. The content creator is not liable for any loss or damage arising from the use of, or reliance on, this information." </t>
  </si>
  <si>
    <t>Storage volume calculation</t>
  </si>
  <si>
    <t xml:space="preserve"> Total Volume Provided</t>
  </si>
  <si>
    <r>
      <t>OSD FLOW RATE</t>
    </r>
    <r>
      <rPr>
        <b/>
        <i/>
        <sz val="10"/>
        <color theme="0"/>
        <rFont val="Aptos Narrow"/>
        <family val="2"/>
        <scheme val="minor"/>
      </rPr>
      <t xml:space="preserve"> (PRE-DEV)</t>
    </r>
  </si>
  <si>
    <r>
      <t xml:space="preserve">Note: </t>
    </r>
    <r>
      <rPr>
        <i/>
        <sz val="11"/>
        <color theme="0"/>
        <rFont val="Aptos Narrow"/>
        <family val="2"/>
        <scheme val="minor"/>
      </rPr>
      <t xml:space="preserve">d=0 for soakwells because only base area is for infiltration </t>
    </r>
    <r>
      <rPr>
        <b/>
        <i/>
        <sz val="11"/>
        <color theme="0"/>
        <rFont val="Aptos Narrow"/>
        <family val="2"/>
        <scheme val="minor"/>
      </rPr>
      <t xml:space="preserve">
Outflow Volume=</t>
    </r>
    <r>
      <rPr>
        <i/>
        <sz val="11"/>
        <color theme="0"/>
        <rFont val="Aptos Narrow"/>
        <family val="2"/>
        <scheme val="minor"/>
      </rPr>
      <t>(Ainf) x U x Kh x D</t>
    </r>
    <r>
      <rPr>
        <b/>
        <i/>
        <sz val="11"/>
        <color theme="0"/>
        <rFont val="Aptos Narrow"/>
        <family val="2"/>
        <scheme val="minor"/>
      </rPr>
      <t xml:space="preserve">
Outflow Rate=</t>
    </r>
    <r>
      <rPr>
        <i/>
        <sz val="11"/>
        <color theme="0"/>
        <rFont val="Aptos Narrow"/>
        <family val="2"/>
        <scheme val="minor"/>
      </rPr>
      <t>Ainf x U x Kh</t>
    </r>
  </si>
  <si>
    <t>Design AEP (Annual exceedence probability) %</t>
  </si>
  <si>
    <t xml:space="preserve">If a soil classification report has been conducted please choose accordingly, however most sites in the City of </t>
  </si>
  <si>
    <t>Vincent are sandy soils.</t>
  </si>
  <si>
    <t xml:space="preserve">If the proposal is below the street level, the residenttial property shall apply a design ARI of 1 in 100 equivalent </t>
  </si>
  <si>
    <t>to 1% AEP to contain stormwater on-site for 1 hour duration as per City policy.</t>
  </si>
  <si>
    <t>version 2.0 - 03/07/2026</t>
  </si>
  <si>
    <t>VERSION 2.0 - 03/07/2026</t>
  </si>
  <si>
    <t>Please enter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</si>
</sst>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0000"/>
    <numFmt numFmtId="167" formatCode="0.0000"/>
    <numFmt numFmtId="168" formatCode="0.000000000"/>
  </numFmts>
  <fonts count="55" x14ac:knownFonts="1">
    <font>
      <sz val="11"/>
      <color theme="1"/>
      <name val="Aptos Narrow"/>
      <family val="2"/>
      <scheme val="minor"/>
    </font>
    <font>
      <b/>
      <sz val="11"/>
      <color theme="1"/>
      <name val="Aptos Narrow"/>
      <family val="2"/>
      <scheme val="minor"/>
    </font>
    <font>
      <sz val="8"/>
      <name val="Aptos Narrow"/>
      <family val="2"/>
      <scheme val="minor"/>
    </font>
    <font>
      <u/>
      <sz val="11"/>
      <color theme="10"/>
      <name val="Aptos Narrow"/>
      <family val="2"/>
      <scheme val="minor"/>
    </font>
    <font>
      <sz val="20"/>
      <color theme="1"/>
      <name val="Aptos Narrow"/>
      <family val="2"/>
      <scheme val="minor"/>
    </font>
    <font>
      <b/>
      <i/>
      <sz val="11"/>
      <color theme="1"/>
      <name val="Aptos Narrow"/>
      <family val="2"/>
      <scheme val="minor"/>
    </font>
    <font>
      <i/>
      <sz val="11"/>
      <color theme="1"/>
      <name val="Aptos Narrow"/>
      <family val="2"/>
      <scheme val="minor"/>
    </font>
    <font>
      <sz val="12"/>
      <color theme="1"/>
      <name val="Aptos Narrow"/>
      <family val="2"/>
      <scheme val="minor"/>
    </font>
    <font>
      <b/>
      <i/>
      <sz val="10"/>
      <color theme="5" tint="-0.249977111117893"/>
      <name val="Aptos Narrow"/>
      <family val="2"/>
      <scheme val="minor"/>
    </font>
    <font>
      <b/>
      <i/>
      <sz val="11"/>
      <color theme="5" tint="-0.249977111117893"/>
      <name val="Aptos Narrow"/>
      <family val="2"/>
      <scheme val="minor"/>
    </font>
    <font>
      <sz val="10"/>
      <color theme="1"/>
      <name val="Aptos Narrow"/>
      <family val="2"/>
      <scheme val="minor"/>
    </font>
    <font>
      <b/>
      <sz val="10"/>
      <color theme="1"/>
      <name val="Aptos Narrow"/>
      <family val="2"/>
      <scheme val="minor"/>
    </font>
    <font>
      <b/>
      <i/>
      <sz val="10"/>
      <color theme="1"/>
      <name val="Aptos Narrow"/>
      <family val="2"/>
      <scheme val="minor"/>
    </font>
    <font>
      <i/>
      <sz val="11"/>
      <name val="Aptos Narrow"/>
      <family val="2"/>
      <scheme val="minor"/>
    </font>
    <font>
      <sz val="11"/>
      <name val="Aptos Narrow"/>
      <family val="2"/>
      <scheme val="minor"/>
    </font>
    <font>
      <i/>
      <sz val="11"/>
      <color theme="5" tint="-0.249977111117893"/>
      <name val="Aptos Narrow"/>
      <family val="2"/>
      <scheme val="minor"/>
    </font>
    <font>
      <b/>
      <sz val="12"/>
      <color theme="1"/>
      <name val="Aptos Narrow"/>
      <family val="2"/>
      <scheme val="minor"/>
    </font>
    <font>
      <sz val="10"/>
      <name val="Aptos Narrow"/>
      <family val="2"/>
      <scheme val="minor"/>
    </font>
    <font>
      <b/>
      <sz val="11"/>
      <name val="Aptos Narrow"/>
      <family val="2"/>
      <scheme val="minor"/>
    </font>
    <font>
      <b/>
      <i/>
      <sz val="11"/>
      <name val="Aptos Narrow"/>
      <family val="2"/>
      <scheme val="minor"/>
    </font>
    <font>
      <b/>
      <i/>
      <u/>
      <sz val="11"/>
      <color theme="1"/>
      <name val="Aptos Narrow"/>
      <family val="2"/>
      <scheme val="minor"/>
    </font>
    <font>
      <sz val="10"/>
      <color rgb="FFFF0000"/>
      <name val="Aptos Narrow"/>
      <family val="2"/>
      <scheme val="minor"/>
    </font>
    <font>
      <b/>
      <i/>
      <sz val="12"/>
      <color theme="1"/>
      <name val="Aptos Narrow"/>
      <family val="2"/>
      <scheme val="minor"/>
    </font>
    <font>
      <sz val="11"/>
      <color rgb="FF000000"/>
      <name val="Aptos Narrow"/>
      <family val="2"/>
      <scheme val="minor"/>
    </font>
    <font>
      <sz val="9"/>
      <color rgb="FF000000"/>
      <name val="Aptos Narrow"/>
      <family val="2"/>
      <scheme val="minor"/>
    </font>
    <font>
      <i/>
      <sz val="11"/>
      <color rgb="FF000000"/>
      <name val="Aptos Narrow"/>
      <family val="2"/>
      <scheme val="minor"/>
    </font>
    <font>
      <b/>
      <sz val="10"/>
      <name val="Aptos Narrow"/>
      <family val="2"/>
      <scheme val="minor"/>
    </font>
    <font>
      <sz val="9"/>
      <name val="Aptos Narrow"/>
      <family val="2"/>
      <scheme val="minor"/>
    </font>
    <font>
      <b/>
      <sz val="14"/>
      <color theme="1"/>
      <name val="Aptos Narrow"/>
      <family val="2"/>
      <scheme val="minor"/>
    </font>
    <font>
      <i/>
      <sz val="10"/>
      <color theme="1"/>
      <name val="Aptos Narrow"/>
      <family val="2"/>
      <scheme val="minor"/>
    </font>
    <font>
      <b/>
      <sz val="16"/>
      <color theme="1"/>
      <name val="Aptos Narrow"/>
      <family val="2"/>
      <scheme val="minor"/>
    </font>
    <font>
      <b/>
      <sz val="11"/>
      <color theme="0"/>
      <name val="Aptos Narrow"/>
      <family val="2"/>
      <scheme val="minor"/>
    </font>
    <font>
      <sz val="11"/>
      <color theme="0"/>
      <name val="Aptos Narrow"/>
      <family val="2"/>
      <scheme val="minor"/>
    </font>
    <font>
      <b/>
      <sz val="48"/>
      <color theme="1"/>
      <name val="Arial"/>
      <family val="2"/>
    </font>
    <font>
      <sz val="15"/>
      <color theme="1"/>
      <name val="Arial"/>
      <family val="2"/>
    </font>
    <font>
      <sz val="15"/>
      <color theme="1"/>
      <name val="Aptos Narrow"/>
      <family val="2"/>
      <scheme val="minor"/>
    </font>
    <font>
      <b/>
      <sz val="15"/>
      <color theme="1"/>
      <name val="Arial"/>
      <family val="2"/>
    </font>
    <font>
      <b/>
      <sz val="15"/>
      <color theme="1"/>
      <name val="Aptos Narrow"/>
      <family val="2"/>
      <scheme val="minor"/>
    </font>
    <font>
      <i/>
      <sz val="15"/>
      <color theme="1"/>
      <name val="Arial"/>
      <family val="2"/>
    </font>
    <font>
      <u/>
      <sz val="15"/>
      <color theme="10"/>
      <name val="Arial"/>
      <family val="2"/>
    </font>
    <font>
      <sz val="15"/>
      <name val="Aptos Narrow"/>
      <family val="2"/>
      <scheme val="minor"/>
    </font>
    <font>
      <sz val="15"/>
      <color rgb="FF92D050"/>
      <name val="Arial"/>
      <family val="2"/>
    </font>
    <font>
      <sz val="15"/>
      <color rgb="FFFF0000"/>
      <name val="Arial"/>
      <family val="2"/>
    </font>
    <font>
      <sz val="10"/>
      <color rgb="FF0A0A0A"/>
      <name val="Arial"/>
      <family val="2"/>
    </font>
    <font>
      <b/>
      <sz val="16"/>
      <color theme="0"/>
      <name val="Arial"/>
      <family val="2"/>
    </font>
    <font>
      <b/>
      <sz val="16"/>
      <color theme="0"/>
      <name val="Aptos Narrow"/>
      <family val="2"/>
      <scheme val="minor"/>
    </font>
    <font>
      <b/>
      <sz val="12"/>
      <color theme="0"/>
      <name val="Aptos Narrow"/>
      <family val="2"/>
      <scheme val="minor"/>
    </font>
    <font>
      <b/>
      <sz val="10"/>
      <color theme="0"/>
      <name val="Aptos Narrow"/>
      <family val="2"/>
      <scheme val="minor"/>
    </font>
    <font>
      <b/>
      <i/>
      <sz val="11"/>
      <color theme="0"/>
      <name val="Aptos Narrow"/>
      <family val="2"/>
      <scheme val="minor"/>
    </font>
    <font>
      <i/>
      <sz val="10"/>
      <color theme="0"/>
      <name val="Aptos Narrow"/>
      <family val="2"/>
      <scheme val="minor"/>
    </font>
    <font>
      <sz val="10"/>
      <color theme="0"/>
      <name val="Aptos Narrow"/>
      <family val="2"/>
      <scheme val="minor"/>
    </font>
    <font>
      <b/>
      <i/>
      <sz val="10"/>
      <color theme="0"/>
      <name val="Aptos Narrow"/>
      <family val="2"/>
      <scheme val="minor"/>
    </font>
    <font>
      <i/>
      <sz val="11"/>
      <color theme="0"/>
      <name val="Aptos Narrow"/>
      <family val="2"/>
      <scheme val="minor"/>
    </font>
    <font>
      <sz val="8"/>
      <color theme="0"/>
      <name val="Aptos Narrow"/>
      <family val="2"/>
      <scheme val="minor"/>
    </font>
    <font>
      <sz val="35"/>
      <color theme="1"/>
      <name val="Aptos Narrow"/>
      <family val="2"/>
      <scheme val="minor"/>
    </font>
  </fonts>
  <fills count="12">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7" tint="0.79998168889431442"/>
        <bgColor indexed="64"/>
      </patternFill>
    </fill>
    <fill>
      <patternFill patternType="solid">
        <fgColor theme="2"/>
        <bgColor indexed="64"/>
      </patternFill>
    </fill>
    <fill>
      <patternFill patternType="solid">
        <fgColor rgb="FF009999"/>
        <bgColor indexed="64"/>
      </patternFill>
    </fill>
    <fill>
      <patternFill patternType="solid">
        <fgColor rgb="FF006666"/>
        <bgColor indexed="64"/>
      </patternFill>
    </fill>
    <fill>
      <patternFill patternType="solid">
        <fgColor theme="0"/>
        <bgColor indexed="64"/>
      </patternFill>
    </fill>
  </fills>
  <borders count="47">
    <border>
      <left/>
      <right/>
      <top/>
      <bottom/>
      <diagonal/>
    </border>
    <border>
      <left style="thin">
        <color auto="1"/>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right/>
      <top style="thin">
        <color auto="1"/>
      </top>
      <bottom/>
      <diagonal/>
    </border>
    <border>
      <left style="thin">
        <color auto="1"/>
      </left>
      <right style="medium">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diagonal/>
    </border>
    <border>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auto="1"/>
      </left>
      <right/>
      <top/>
      <bottom/>
      <diagonal/>
    </border>
    <border>
      <left style="medium">
        <color indexed="64"/>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top style="medium">
        <color indexed="64"/>
      </top>
      <bottom/>
      <diagonal/>
    </border>
    <border>
      <left/>
      <right style="thick">
        <color indexed="64"/>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s>
  <cellStyleXfs count="2">
    <xf numFmtId="0" fontId="0" fillId="0" borderId="0"/>
    <xf numFmtId="0" fontId="3" fillId="0" borderId="0" applyNumberFormat="0" applyFill="0" applyBorder="0" applyAlignment="0" applyProtection="0"/>
  </cellStyleXfs>
  <cellXfs count="436">
    <xf numFmtId="0" fontId="0" fillId="0" borderId="0" xfId="0"/>
    <xf numFmtId="0" fontId="0" fillId="0" borderId="0" xfId="0"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0" fontId="0" fillId="0" borderId="1" xfId="0" applyBorder="1" applyAlignment="1">
      <alignment horizontal="center"/>
    </xf>
    <xf numFmtId="164" fontId="0" fillId="0" borderId="1" xfId="0" applyNumberFormat="1" applyBorder="1" applyAlignment="1">
      <alignment horizontal="center"/>
    </xf>
    <xf numFmtId="2" fontId="0" fillId="0" borderId="0" xfId="0" applyNumberFormat="1"/>
    <xf numFmtId="167" fontId="0" fillId="0" borderId="0" xfId="0" applyNumberFormat="1" applyAlignment="1">
      <alignment horizontal="center"/>
    </xf>
    <xf numFmtId="2" fontId="0" fillId="0" borderId="1" xfId="0" applyNumberFormat="1" applyBorder="1" applyAlignment="1">
      <alignment horizontal="center"/>
    </xf>
    <xf numFmtId="0" fontId="0" fillId="7" borderId="0" xfId="0" applyFill="1" applyAlignment="1">
      <alignment horizontal="center" vertical="center"/>
    </xf>
    <xf numFmtId="9" fontId="0" fillId="7" borderId="0" xfId="0" applyNumberFormat="1" applyFill="1" applyAlignment="1">
      <alignment horizontal="center" vertical="center"/>
    </xf>
    <xf numFmtId="0" fontId="0" fillId="7" borderId="0" xfId="0" applyFill="1" applyAlignment="1">
      <alignment horizontal="center" vertical="center" wrapText="1"/>
    </xf>
    <xf numFmtId="0" fontId="0" fillId="0" borderId="0" xfId="0" applyAlignment="1">
      <alignment horizontal="center" wrapText="1"/>
    </xf>
    <xf numFmtId="2" fontId="0" fillId="0" borderId="0" xfId="0" applyNumberFormat="1" applyAlignment="1">
      <alignment horizontal="center" vertical="center"/>
    </xf>
    <xf numFmtId="0" fontId="0" fillId="0" borderId="0" xfId="0" applyAlignment="1">
      <alignment horizontal="center" vertical="center" wrapText="1"/>
    </xf>
    <xf numFmtId="0" fontId="32" fillId="11" borderId="0" xfId="0" applyFont="1" applyFill="1"/>
    <xf numFmtId="0" fontId="32" fillId="11" borderId="0" xfId="0" applyFont="1" applyFill="1" applyAlignment="1">
      <alignment horizontal="center"/>
    </xf>
    <xf numFmtId="9" fontId="32" fillId="11" borderId="0" xfId="0" applyNumberFormat="1" applyFont="1" applyFill="1" applyAlignment="1">
      <alignment horizontal="center"/>
    </xf>
    <xf numFmtId="0" fontId="32" fillId="11" borderId="0" xfId="0" applyFont="1" applyFill="1" applyAlignment="1">
      <alignment horizontal="center" vertical="center"/>
    </xf>
    <xf numFmtId="9" fontId="32" fillId="11" borderId="0" xfId="0" applyNumberFormat="1" applyFont="1" applyFill="1" applyAlignment="1">
      <alignment horizontal="center" vertical="center"/>
    </xf>
    <xf numFmtId="0" fontId="32" fillId="11" borderId="0" xfId="0" applyFont="1" applyFill="1" applyAlignment="1">
      <alignment horizontal="center" vertical="center" wrapText="1"/>
    </xf>
    <xf numFmtId="2" fontId="32" fillId="11" borderId="0" xfId="0" applyNumberFormat="1" applyFont="1" applyFill="1" applyAlignment="1">
      <alignment horizontal="center"/>
    </xf>
    <xf numFmtId="1" fontId="32" fillId="11" borderId="0" xfId="0" applyNumberFormat="1" applyFont="1" applyFill="1" applyAlignment="1">
      <alignment horizontal="center"/>
    </xf>
    <xf numFmtId="164" fontId="32" fillId="11" borderId="0" xfId="0" applyNumberFormat="1" applyFont="1" applyFill="1" applyAlignment="1">
      <alignment horizontal="center"/>
    </xf>
    <xf numFmtId="167" fontId="32" fillId="11" borderId="0" xfId="0" applyNumberFormat="1" applyFont="1" applyFill="1" applyAlignment="1">
      <alignment horizontal="center"/>
    </xf>
    <xf numFmtId="0" fontId="32" fillId="11" borderId="1" xfId="0" applyFont="1" applyFill="1" applyBorder="1" applyAlignment="1">
      <alignment horizontal="center"/>
    </xf>
    <xf numFmtId="2" fontId="32" fillId="11" borderId="1" xfId="0" applyNumberFormat="1" applyFont="1" applyFill="1" applyBorder="1" applyAlignment="1">
      <alignment horizontal="center"/>
    </xf>
    <xf numFmtId="0" fontId="47" fillId="11" borderId="1" xfId="0" applyFont="1" applyFill="1" applyBorder="1" applyAlignment="1">
      <alignment horizontal="left" vertical="center"/>
    </xf>
    <xf numFmtId="0" fontId="48" fillId="11" borderId="1" xfId="0" applyFont="1" applyFill="1" applyBorder="1" applyAlignment="1">
      <alignment horizontal="center" vertical="center"/>
    </xf>
    <xf numFmtId="0" fontId="49" fillId="11" borderId="1" xfId="0" applyFont="1" applyFill="1" applyBorder="1" applyAlignment="1">
      <alignment horizontal="left" vertical="center"/>
    </xf>
    <xf numFmtId="0" fontId="50" fillId="11" borderId="1" xfId="0" applyFont="1" applyFill="1" applyBorder="1" applyAlignment="1">
      <alignment horizontal="center" vertical="center"/>
    </xf>
    <xf numFmtId="0" fontId="47" fillId="11" borderId="1" xfId="0" applyFont="1" applyFill="1" applyBorder="1" applyAlignment="1">
      <alignment horizontal="left" vertical="center" wrapText="1"/>
    </xf>
    <xf numFmtId="2" fontId="48" fillId="11" borderId="1" xfId="0" applyNumberFormat="1" applyFont="1" applyFill="1" applyBorder="1" applyAlignment="1">
      <alignment horizontal="center" vertical="center"/>
    </xf>
    <xf numFmtId="0" fontId="31" fillId="11" borderId="2" xfId="0" applyFont="1" applyFill="1" applyBorder="1" applyAlignment="1">
      <alignment horizontal="center" vertical="center"/>
    </xf>
    <xf numFmtId="0" fontId="31" fillId="11" borderId="0" xfId="0" applyFont="1" applyFill="1" applyAlignment="1">
      <alignment horizontal="center" vertical="center" wrapText="1"/>
    </xf>
    <xf numFmtId="0" fontId="31" fillId="11" borderId="27" xfId="0" applyFont="1" applyFill="1" applyBorder="1" applyAlignment="1">
      <alignment horizontal="center" vertical="center" wrapText="1"/>
    </xf>
    <xf numFmtId="0" fontId="31" fillId="11" borderId="28" xfId="0" applyFont="1" applyFill="1" applyBorder="1" applyAlignment="1">
      <alignment horizontal="center" vertical="center" wrapText="1"/>
    </xf>
    <xf numFmtId="2" fontId="48" fillId="11" borderId="0" xfId="0" applyNumberFormat="1" applyFont="1" applyFill="1" applyAlignment="1">
      <alignment horizontal="center" vertical="center"/>
    </xf>
    <xf numFmtId="0" fontId="52" fillId="11" borderId="0" xfId="0" applyFont="1" applyFill="1" applyAlignment="1">
      <alignment horizontal="left" vertical="center"/>
    </xf>
    <xf numFmtId="0" fontId="52" fillId="11" borderId="6" xfId="0" applyFont="1" applyFill="1" applyBorder="1" applyAlignment="1">
      <alignment horizontal="center" vertical="center"/>
    </xf>
    <xf numFmtId="0" fontId="52" fillId="11" borderId="7" xfId="0" applyFont="1" applyFill="1" applyBorder="1" applyAlignment="1">
      <alignment horizontal="center" vertical="center"/>
    </xf>
    <xf numFmtId="0" fontId="52" fillId="11" borderId="8" xfId="0" applyFont="1" applyFill="1" applyBorder="1" applyAlignment="1">
      <alignment horizontal="center" vertical="center"/>
    </xf>
    <xf numFmtId="0" fontId="32" fillId="11" borderId="2" xfId="0" applyFont="1" applyFill="1" applyBorder="1" applyAlignment="1">
      <alignment horizontal="center" vertical="center"/>
    </xf>
    <xf numFmtId="2" fontId="32" fillId="11" borderId="0" xfId="0" applyNumberFormat="1" applyFont="1" applyFill="1" applyAlignment="1">
      <alignment horizontal="center" vertical="center"/>
    </xf>
    <xf numFmtId="165" fontId="32" fillId="11" borderId="0" xfId="0" applyNumberFormat="1" applyFont="1" applyFill="1" applyAlignment="1">
      <alignment horizontal="center" vertical="center"/>
    </xf>
    <xf numFmtId="164" fontId="32" fillId="11" borderId="0" xfId="0" applyNumberFormat="1" applyFont="1" applyFill="1" applyAlignment="1">
      <alignment horizontal="center" vertical="center"/>
    </xf>
    <xf numFmtId="2" fontId="32" fillId="11" borderId="3" xfId="0" applyNumberFormat="1" applyFont="1" applyFill="1" applyBorder="1" applyAlignment="1">
      <alignment horizontal="center" vertical="center"/>
    </xf>
    <xf numFmtId="0" fontId="32" fillId="11" borderId="6" xfId="0" applyFont="1" applyFill="1" applyBorder="1" applyAlignment="1">
      <alignment horizontal="center" vertical="center"/>
    </xf>
    <xf numFmtId="2" fontId="32" fillId="11" borderId="7" xfId="0" applyNumberFormat="1" applyFont="1" applyFill="1" applyBorder="1" applyAlignment="1">
      <alignment horizontal="center" vertical="center"/>
    </xf>
    <xf numFmtId="165" fontId="32" fillId="11" borderId="7" xfId="0" applyNumberFormat="1" applyFont="1" applyFill="1" applyBorder="1" applyAlignment="1">
      <alignment horizontal="center" vertical="center"/>
    </xf>
    <xf numFmtId="164" fontId="32" fillId="11" borderId="7" xfId="0" applyNumberFormat="1" applyFont="1" applyFill="1" applyBorder="1" applyAlignment="1">
      <alignment horizontal="center" vertical="center"/>
    </xf>
    <xf numFmtId="2" fontId="32" fillId="11" borderId="8" xfId="0" applyNumberFormat="1" applyFont="1" applyFill="1" applyBorder="1" applyAlignment="1">
      <alignment horizontal="center" vertical="center"/>
    </xf>
    <xf numFmtId="0" fontId="32" fillId="11" borderId="29" xfId="0" applyFont="1" applyFill="1" applyBorder="1"/>
    <xf numFmtId="0" fontId="32" fillId="11" borderId="1" xfId="0" applyFont="1" applyFill="1" applyBorder="1"/>
    <xf numFmtId="0" fontId="32" fillId="11" borderId="3" xfId="0" applyFont="1" applyFill="1" applyBorder="1"/>
    <xf numFmtId="0" fontId="32" fillId="11" borderId="2" xfId="0" applyFont="1" applyFill="1" applyBorder="1"/>
    <xf numFmtId="0" fontId="48" fillId="11" borderId="0" xfId="0" applyFont="1" applyFill="1"/>
    <xf numFmtId="0" fontId="32" fillId="11" borderId="29" xfId="0" applyFont="1" applyFill="1" applyBorder="1" applyAlignment="1">
      <alignment horizontal="center" vertical="center"/>
    </xf>
    <xf numFmtId="0" fontId="31" fillId="11" borderId="2" xfId="0" applyFont="1" applyFill="1" applyBorder="1"/>
    <xf numFmtId="0" fontId="53" fillId="11" borderId="0" xfId="0" applyFont="1" applyFill="1"/>
    <xf numFmtId="0" fontId="31" fillId="11" borderId="0" xfId="0" applyFont="1" applyFill="1"/>
    <xf numFmtId="0" fontId="32" fillId="11" borderId="0" xfId="0" applyFont="1" applyFill="1" applyAlignment="1">
      <alignment horizontal="left" vertical="center"/>
    </xf>
    <xf numFmtId="0" fontId="31" fillId="11" borderId="2" xfId="0" applyFont="1" applyFill="1" applyBorder="1" applyAlignment="1">
      <alignment horizontal="left" vertical="center"/>
    </xf>
    <xf numFmtId="0" fontId="31" fillId="11" borderId="0" xfId="0" applyFont="1" applyFill="1" applyAlignment="1">
      <alignment horizontal="left" vertical="center"/>
    </xf>
    <xf numFmtId="0" fontId="32" fillId="11" borderId="1" xfId="0" applyFont="1" applyFill="1" applyBorder="1" applyAlignment="1">
      <alignment horizontal="center" vertical="center"/>
    </xf>
    <xf numFmtId="0" fontId="32" fillId="11" borderId="1" xfId="0" applyFont="1" applyFill="1" applyBorder="1" applyAlignment="1">
      <alignment horizontal="center" vertical="center" wrapText="1"/>
    </xf>
    <xf numFmtId="0" fontId="32" fillId="11" borderId="35" xfId="0" applyFont="1" applyFill="1" applyBorder="1" applyAlignment="1">
      <alignment horizontal="center" vertical="center"/>
    </xf>
    <xf numFmtId="0" fontId="32" fillId="11" borderId="29" xfId="0" applyFont="1" applyFill="1" applyBorder="1" applyAlignment="1">
      <alignment horizontal="left" vertical="center"/>
    </xf>
    <xf numFmtId="0" fontId="32" fillId="11" borderId="6" xfId="0" applyFont="1" applyFill="1" applyBorder="1"/>
    <xf numFmtId="0" fontId="32" fillId="11" borderId="7" xfId="0" applyFont="1" applyFill="1" applyBorder="1"/>
    <xf numFmtId="0" fontId="31" fillId="11" borderId="7" xfId="0" applyFont="1" applyFill="1" applyBorder="1"/>
    <xf numFmtId="0" fontId="32" fillId="11" borderId="8" xfId="0" applyFont="1" applyFill="1" applyBorder="1"/>
    <xf numFmtId="2" fontId="24" fillId="0" borderId="0" xfId="0" applyNumberFormat="1" applyFont="1" applyAlignment="1">
      <alignment horizontal="left" vertical="top" shrinkToFit="1"/>
    </xf>
    <xf numFmtId="0" fontId="0" fillId="5" borderId="2" xfId="0" applyFill="1" applyBorder="1"/>
    <xf numFmtId="2" fontId="0" fillId="5" borderId="0" xfId="0" applyNumberFormat="1" applyFill="1" applyAlignment="1">
      <alignment horizontal="center"/>
    </xf>
    <xf numFmtId="0" fontId="0" fillId="5" borderId="0" xfId="0" applyFill="1"/>
    <xf numFmtId="2" fontId="0" fillId="5" borderId="0" xfId="0" applyNumberFormat="1" applyFill="1"/>
    <xf numFmtId="2" fontId="0" fillId="5" borderId="3" xfId="0" applyNumberFormat="1" applyFill="1" applyBorder="1"/>
    <xf numFmtId="1" fontId="24" fillId="0" borderId="0" xfId="0" applyNumberFormat="1" applyFont="1" applyAlignment="1">
      <alignment horizontal="left" vertical="top" shrinkToFit="1"/>
    </xf>
    <xf numFmtId="0" fontId="0" fillId="5" borderId="6" xfId="0" applyFill="1" applyBorder="1"/>
    <xf numFmtId="0" fontId="0" fillId="5" borderId="7" xfId="0" applyFill="1" applyBorder="1"/>
    <xf numFmtId="2" fontId="0" fillId="5" borderId="7" xfId="0" applyNumberFormat="1" applyFill="1" applyBorder="1"/>
    <xf numFmtId="2" fontId="0" fillId="5" borderId="8" xfId="0" applyNumberFormat="1" applyFill="1" applyBorder="1"/>
    <xf numFmtId="0" fontId="27" fillId="0" borderId="0" xfId="0" applyFont="1" applyAlignment="1">
      <alignment vertical="top"/>
    </xf>
    <xf numFmtId="165" fontId="0" fillId="5" borderId="0" xfId="0" applyNumberFormat="1" applyFill="1"/>
    <xf numFmtId="0" fontId="0" fillId="0" borderId="4" xfId="0" applyBorder="1"/>
    <xf numFmtId="0" fontId="1" fillId="0" borderId="0" xfId="0" applyFont="1"/>
    <xf numFmtId="0" fontId="4" fillId="0" borderId="0" xfId="0" applyFont="1"/>
    <xf numFmtId="166" fontId="0" fillId="0" borderId="0" xfId="0" applyNumberFormat="1"/>
    <xf numFmtId="0" fontId="0" fillId="5" borderId="26" xfId="0" applyFill="1" applyBorder="1"/>
    <xf numFmtId="0" fontId="0" fillId="5" borderId="27" xfId="0" applyFill="1" applyBorder="1"/>
    <xf numFmtId="0" fontId="0" fillId="5" borderId="28" xfId="0" applyFill="1" applyBorder="1"/>
    <xf numFmtId="0" fontId="0" fillId="5" borderId="29" xfId="0" applyFill="1" applyBorder="1"/>
    <xf numFmtId="10" fontId="0" fillId="5" borderId="5" xfId="0" applyNumberFormat="1" applyFill="1" applyBorder="1"/>
    <xf numFmtId="9" fontId="0" fillId="5" borderId="5" xfId="0" applyNumberFormat="1" applyFill="1" applyBorder="1"/>
    <xf numFmtId="9" fontId="0" fillId="5" borderId="30" xfId="0" applyNumberFormat="1" applyFill="1" applyBorder="1"/>
    <xf numFmtId="0" fontId="3" fillId="0" borderId="0" xfId="1" applyProtection="1"/>
    <xf numFmtId="0" fontId="0" fillId="0" borderId="1" xfId="0" applyBorder="1"/>
    <xf numFmtId="10" fontId="0" fillId="0" borderId="5" xfId="0" applyNumberFormat="1" applyBorder="1"/>
    <xf numFmtId="9" fontId="0" fillId="0" borderId="5" xfId="0" applyNumberFormat="1" applyBorder="1"/>
    <xf numFmtId="0" fontId="26" fillId="0" borderId="0" xfId="0" applyFont="1" applyAlignment="1">
      <alignment vertical="top"/>
    </xf>
    <xf numFmtId="0" fontId="0" fillId="0" borderId="0" xfId="0" applyProtection="1">
      <protection locked="0"/>
    </xf>
    <xf numFmtId="0" fontId="0" fillId="0" borderId="13" xfId="0" applyBorder="1" applyProtection="1">
      <protection locked="0"/>
    </xf>
    <xf numFmtId="0" fontId="0" fillId="0" borderId="14" xfId="0" applyBorder="1" applyProtection="1">
      <protection locked="0"/>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xf numFmtId="0" fontId="0" fillId="2" borderId="16" xfId="0" applyFill="1" applyBorder="1" applyProtection="1">
      <protection locked="0"/>
    </xf>
    <xf numFmtId="0" fontId="0" fillId="2" borderId="0" xfId="0" applyFill="1" applyProtection="1">
      <protection locked="0"/>
    </xf>
    <xf numFmtId="0" fontId="0" fillId="2" borderId="17" xfId="0" applyFill="1" applyBorder="1" applyProtection="1">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9" borderId="0" xfId="1" applyFont="1" applyFill="1" applyBorder="1" applyAlignment="1" applyProtection="1">
      <alignment vertical="center"/>
    </xf>
    <xf numFmtId="0" fontId="0" fillId="4" borderId="9" xfId="0" applyFill="1" applyBorder="1" applyAlignment="1" applyProtection="1">
      <alignment horizontal="center" vertical="center"/>
      <protection locked="0"/>
    </xf>
    <xf numFmtId="1" fontId="0" fillId="4" borderId="9" xfId="0" applyNumberForma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1" fontId="14" fillId="4" borderId="1" xfId="0" applyNumberFormat="1" applyFont="1" applyFill="1" applyBorder="1" applyAlignment="1" applyProtection="1">
      <alignment horizontal="center" vertical="center"/>
      <protection locked="0"/>
    </xf>
    <xf numFmtId="0" fontId="1" fillId="3" borderId="2" xfId="0" applyFont="1" applyFill="1" applyBorder="1" applyAlignment="1">
      <alignment horizontal="left" vertical="center" wrapText="1"/>
    </xf>
    <xf numFmtId="0" fontId="0" fillId="3" borderId="0" xfId="0" applyFill="1" applyAlignment="1">
      <alignment vertical="center"/>
    </xf>
    <xf numFmtId="0" fontId="1" fillId="3" borderId="0" xfId="0" applyFont="1" applyFill="1" applyAlignment="1">
      <alignment horizontal="center" vertical="center" wrapText="1"/>
    </xf>
    <xf numFmtId="2" fontId="18" fillId="3" borderId="0" xfId="0" applyNumberFormat="1" applyFont="1" applyFill="1" applyAlignment="1">
      <alignment horizontal="center" vertical="center"/>
    </xf>
    <xf numFmtId="2" fontId="19" fillId="3" borderId="0" xfId="0" applyNumberFormat="1" applyFont="1" applyFill="1" applyAlignment="1">
      <alignment horizontal="center" vertical="center" wrapText="1"/>
    </xf>
    <xf numFmtId="166" fontId="13" fillId="3" borderId="21" xfId="0" applyNumberFormat="1" applyFont="1" applyFill="1" applyBorder="1" applyAlignment="1">
      <alignment horizontal="center" vertical="center"/>
    </xf>
    <xf numFmtId="2" fontId="19" fillId="5" borderId="9" xfId="0" applyNumberFormat="1" applyFont="1" applyFill="1" applyBorder="1" applyAlignment="1">
      <alignment horizontal="center" vertical="center" wrapText="1"/>
    </xf>
    <xf numFmtId="2" fontId="5" fillId="3" borderId="3" xfId="0" applyNumberFormat="1" applyFont="1" applyFill="1" applyBorder="1" applyAlignment="1">
      <alignment horizontal="center" vertical="center"/>
    </xf>
    <xf numFmtId="2" fontId="5" fillId="3" borderId="0" xfId="0" applyNumberFormat="1" applyFont="1" applyFill="1" applyAlignment="1">
      <alignment horizontal="center" vertical="center"/>
    </xf>
    <xf numFmtId="0" fontId="0" fillId="0" borderId="0" xfId="0" applyAlignment="1">
      <alignment vertical="center"/>
    </xf>
    <xf numFmtId="0" fontId="34" fillId="9" borderId="34" xfId="0" applyFont="1" applyFill="1" applyBorder="1" applyAlignment="1">
      <alignment vertical="center"/>
    </xf>
    <xf numFmtId="0" fontId="34" fillId="9" borderId="0" xfId="0" applyFont="1" applyFill="1" applyAlignment="1">
      <alignment vertical="center"/>
    </xf>
    <xf numFmtId="0" fontId="40" fillId="9" borderId="0" xfId="0" applyFont="1" applyFill="1" applyAlignment="1">
      <alignment horizontal="left" vertical="center"/>
    </xf>
    <xf numFmtId="0" fontId="0" fillId="9" borderId="0" xfId="0" applyFill="1" applyAlignment="1">
      <alignment vertical="center"/>
    </xf>
    <xf numFmtId="0" fontId="17" fillId="9" borderId="0" xfId="0" applyFont="1" applyFill="1" applyAlignment="1">
      <alignment vertical="center"/>
    </xf>
    <xf numFmtId="0" fontId="0" fillId="9" borderId="38" xfId="0" applyFill="1" applyBorder="1" applyAlignment="1">
      <alignment vertical="center"/>
    </xf>
    <xf numFmtId="0" fontId="0" fillId="3" borderId="2" xfId="0" applyFill="1" applyBorder="1" applyAlignment="1">
      <alignment horizontal="left" vertical="center" wrapText="1"/>
    </xf>
    <xf numFmtId="0" fontId="0" fillId="3" borderId="0" xfId="0" applyFill="1" applyAlignment="1">
      <alignment horizontal="left" vertical="center" wrapText="1"/>
    </xf>
    <xf numFmtId="2" fontId="14" fillId="3" borderId="0" xfId="0" applyNumberFormat="1" applyFont="1" applyFill="1" applyAlignment="1">
      <alignment horizontal="center" vertical="center"/>
    </xf>
    <xf numFmtId="164" fontId="14" fillId="3" borderId="0" xfId="0" applyNumberFormat="1" applyFont="1" applyFill="1" applyAlignment="1">
      <alignment horizontal="center" vertical="center" wrapText="1"/>
    </xf>
    <xf numFmtId="164" fontId="13" fillId="3" borderId="0" xfId="0" applyNumberFormat="1" applyFont="1" applyFill="1" applyAlignment="1">
      <alignment horizontal="center" vertical="center"/>
    </xf>
    <xf numFmtId="0" fontId="5" fillId="3" borderId="3" xfId="0" applyFont="1" applyFill="1" applyBorder="1" applyAlignment="1">
      <alignment horizontal="center" vertical="center"/>
    </xf>
    <xf numFmtId="0" fontId="5" fillId="3" borderId="0" xfId="0" applyFont="1" applyFill="1" applyAlignment="1">
      <alignment horizontal="center" vertical="center"/>
    </xf>
    <xf numFmtId="164" fontId="0" fillId="3" borderId="0" xfId="0" applyNumberFormat="1" applyFill="1" applyAlignment="1">
      <alignment horizontal="center" vertical="center"/>
    </xf>
    <xf numFmtId="0" fontId="0" fillId="3" borderId="3" xfId="0" applyFill="1" applyBorder="1" applyAlignment="1">
      <alignment vertical="center"/>
    </xf>
    <xf numFmtId="0" fontId="40" fillId="9" borderId="0" xfId="0" applyFont="1" applyFill="1" applyAlignment="1">
      <alignment vertical="center"/>
    </xf>
    <xf numFmtId="2" fontId="21" fillId="9" borderId="0" xfId="0" applyNumberFormat="1" applyFont="1" applyFill="1" applyAlignment="1">
      <alignment vertical="center"/>
    </xf>
    <xf numFmtId="0" fontId="30" fillId="5" borderId="2" xfId="0" applyFont="1" applyFill="1" applyBorder="1" applyAlignment="1">
      <alignment horizontal="left" vertical="center" wrapText="1"/>
    </xf>
    <xf numFmtId="0" fontId="1" fillId="5" borderId="0" xfId="0" applyFont="1" applyFill="1" applyAlignment="1">
      <alignment horizontal="left" vertical="center" wrapText="1"/>
    </xf>
    <xf numFmtId="0" fontId="1" fillId="0" borderId="0" xfId="0" applyFont="1" applyAlignment="1">
      <alignment horizontal="left" vertical="center" wrapText="1"/>
    </xf>
    <xf numFmtId="0" fontId="35" fillId="9" borderId="0" xfId="0" applyFont="1" applyFill="1" applyAlignment="1">
      <alignment horizontal="left" vertical="center"/>
    </xf>
    <xf numFmtId="0" fontId="9" fillId="3" borderId="0" xfId="0" applyFont="1" applyFill="1" applyAlignment="1">
      <alignment vertical="center"/>
    </xf>
    <xf numFmtId="0" fontId="1" fillId="3" borderId="0" xfId="0" applyFont="1" applyFill="1" applyAlignment="1">
      <alignment horizontal="left" vertical="center" wrapText="1"/>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3" borderId="34" xfId="0" applyFill="1" applyBorder="1" applyAlignment="1">
      <alignment horizontal="center" vertical="center" wrapText="1"/>
    </xf>
    <xf numFmtId="0" fontId="0" fillId="3" borderId="2" xfId="0" applyFill="1" applyBorder="1" applyAlignment="1">
      <alignment horizontal="right" vertical="center"/>
    </xf>
    <xf numFmtId="0" fontId="1"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1" fontId="0" fillId="4" borderId="1" xfId="0" applyNumberFormat="1" applyFill="1" applyBorder="1" applyAlignment="1">
      <alignment horizontal="center" vertical="center" wrapText="1"/>
    </xf>
    <xf numFmtId="0" fontId="35" fillId="9" borderId="0" xfId="0" applyFont="1" applyFill="1" applyAlignment="1">
      <alignment vertical="center"/>
    </xf>
    <xf numFmtId="0" fontId="0" fillId="5" borderId="1" xfId="0" applyFill="1" applyBorder="1" applyAlignment="1">
      <alignment horizontal="center" vertical="center"/>
    </xf>
    <xf numFmtId="0" fontId="5" fillId="3" borderId="0" xfId="0" applyFont="1" applyFill="1" applyAlignment="1">
      <alignment horizontal="center" vertical="center" wrapText="1"/>
    </xf>
    <xf numFmtId="0" fontId="9" fillId="5" borderId="0" xfId="0" applyFont="1" applyFill="1" applyAlignment="1">
      <alignment vertical="center"/>
    </xf>
    <xf numFmtId="2" fontId="18" fillId="5" borderId="0" xfId="0" applyNumberFormat="1" applyFont="1" applyFill="1" applyAlignment="1">
      <alignment horizontal="center" vertical="center"/>
    </xf>
    <xf numFmtId="0" fontId="5" fillId="5" borderId="0" xfId="0" applyFont="1" applyFill="1" applyAlignment="1">
      <alignment horizontal="center" vertical="center" wrapText="1"/>
    </xf>
    <xf numFmtId="0" fontId="5" fillId="5" borderId="0" xfId="0" applyFont="1" applyFill="1" applyAlignment="1">
      <alignment horizontal="left" vertical="center"/>
    </xf>
    <xf numFmtId="0" fontId="1" fillId="5" borderId="0" xfId="0" applyFont="1" applyFill="1" applyAlignment="1">
      <alignment horizontal="center" vertical="center" wrapText="1"/>
    </xf>
    <xf numFmtId="0" fontId="1" fillId="5" borderId="3" xfId="0" applyFont="1" applyFill="1" applyBorder="1" applyAlignment="1">
      <alignment horizontal="center" vertical="center" wrapText="1"/>
    </xf>
    <xf numFmtId="0" fontId="1" fillId="0" borderId="0" xfId="0" applyFont="1" applyAlignment="1">
      <alignment horizontal="center" vertical="center" wrapText="1"/>
    </xf>
    <xf numFmtId="0" fontId="1" fillId="3" borderId="3" xfId="0" applyFont="1" applyFill="1" applyBorder="1" applyAlignment="1">
      <alignment horizontal="left" vertical="center" wrapText="1"/>
    </xf>
    <xf numFmtId="0" fontId="0" fillId="3" borderId="31" xfId="0" applyFill="1" applyBorder="1" applyAlignment="1">
      <alignment horizontal="center" vertical="center" wrapText="1"/>
    </xf>
    <xf numFmtId="2" fontId="14" fillId="3" borderId="1" xfId="0" applyNumberFormat="1" applyFont="1" applyFill="1" applyBorder="1" applyAlignment="1">
      <alignment horizontal="center" vertical="center"/>
    </xf>
    <xf numFmtId="0" fontId="14" fillId="3" borderId="22" xfId="0" applyFont="1" applyFill="1" applyBorder="1" applyAlignment="1">
      <alignment horizontal="center" vertical="center" wrapText="1"/>
    </xf>
    <xf numFmtId="0" fontId="14" fillId="0" borderId="0" xfId="0" applyFont="1" applyAlignment="1">
      <alignment horizontal="center" vertical="center" wrapText="1"/>
    </xf>
    <xf numFmtId="0" fontId="0" fillId="3" borderId="2" xfId="0" applyFill="1" applyBorder="1" applyAlignment="1">
      <alignment vertical="center"/>
    </xf>
    <xf numFmtId="0" fontId="1" fillId="4" borderId="31" xfId="0" applyFont="1" applyFill="1" applyBorder="1" applyAlignment="1">
      <alignment horizontal="center" vertical="center" wrapText="1"/>
    </xf>
    <xf numFmtId="1" fontId="18" fillId="4" borderId="1" xfId="0" applyNumberFormat="1" applyFont="1" applyFill="1" applyBorder="1" applyAlignment="1">
      <alignment horizontal="center" vertical="center"/>
    </xf>
    <xf numFmtId="0" fontId="6" fillId="5" borderId="1" xfId="0" applyFont="1" applyFill="1" applyBorder="1" applyAlignment="1">
      <alignment horizontal="center" vertical="center" wrapText="1"/>
    </xf>
    <xf numFmtId="2" fontId="13" fillId="5" borderId="1" xfId="0" applyNumberFormat="1" applyFont="1" applyFill="1" applyBorder="1" applyAlignment="1">
      <alignment horizontal="center" vertical="center"/>
    </xf>
    <xf numFmtId="2" fontId="14" fillId="4" borderId="1" xfId="0" applyNumberFormat="1" applyFont="1" applyFill="1" applyBorder="1" applyAlignment="1">
      <alignment horizontal="center" vertical="center"/>
    </xf>
    <xf numFmtId="0" fontId="14" fillId="4" borderId="30" xfId="0" applyFont="1" applyFill="1" applyBorder="1" applyAlignment="1">
      <alignment horizontal="center" vertical="center"/>
    </xf>
    <xf numFmtId="0" fontId="14" fillId="0" borderId="0" xfId="0" applyFont="1" applyAlignment="1">
      <alignment horizontal="center" vertical="center"/>
    </xf>
    <xf numFmtId="0" fontId="14" fillId="4" borderId="9" xfId="0" applyFont="1" applyFill="1" applyBorder="1" applyAlignment="1">
      <alignment horizontal="center" vertical="center"/>
    </xf>
    <xf numFmtId="0" fontId="22" fillId="5" borderId="9" xfId="0" applyFont="1" applyFill="1" applyBorder="1" applyAlignment="1">
      <alignment horizontal="center" vertical="center"/>
    </xf>
    <xf numFmtId="0" fontId="22" fillId="0" borderId="0" xfId="0" applyFont="1" applyAlignment="1">
      <alignment horizontal="center" vertical="center"/>
    </xf>
    <xf numFmtId="0" fontId="14" fillId="4" borderId="23" xfId="0" applyFont="1" applyFill="1" applyBorder="1" applyAlignment="1">
      <alignment horizontal="center" vertical="center"/>
    </xf>
    <xf numFmtId="2" fontId="19" fillId="5" borderId="1" xfId="0" applyNumberFormat="1" applyFont="1" applyFill="1" applyBorder="1" applyAlignment="1">
      <alignment horizontal="center" vertical="center"/>
    </xf>
    <xf numFmtId="0" fontId="6" fillId="3" borderId="26" xfId="0" applyFont="1" applyFill="1" applyBorder="1" applyAlignment="1">
      <alignment vertical="center"/>
    </xf>
    <xf numFmtId="0" fontId="0" fillId="3" borderId="27" xfId="0" applyFill="1" applyBorder="1" applyAlignment="1">
      <alignment horizontal="center" vertical="center" wrapText="1"/>
    </xf>
    <xf numFmtId="0" fontId="0" fillId="3" borderId="28" xfId="0" applyFill="1" applyBorder="1" applyAlignment="1">
      <alignment horizontal="center" vertical="center" wrapText="1"/>
    </xf>
    <xf numFmtId="0" fontId="6" fillId="3" borderId="2" xfId="0" applyFont="1" applyFill="1" applyBorder="1" applyAlignment="1">
      <alignment horizontal="left" vertical="center"/>
    </xf>
    <xf numFmtId="0" fontId="0" fillId="3" borderId="0" xfId="0" applyFill="1" applyAlignment="1">
      <alignment horizontal="center" vertical="center" wrapText="1"/>
    </xf>
    <xf numFmtId="0" fontId="0" fillId="3" borderId="3" xfId="0" applyFill="1" applyBorder="1" applyAlignment="1">
      <alignment horizontal="center" vertical="center" wrapText="1"/>
    </xf>
    <xf numFmtId="0" fontId="6" fillId="3" borderId="6" xfId="0" applyFont="1" applyFill="1" applyBorder="1" applyAlignment="1">
      <alignment horizontal="left" vertical="center"/>
    </xf>
    <xf numFmtId="0" fontId="0" fillId="3" borderId="7" xfId="0" applyFill="1" applyBorder="1" applyAlignment="1">
      <alignment horizontal="center" vertical="center" wrapText="1"/>
    </xf>
    <xf numFmtId="0" fontId="0" fillId="3" borderId="8" xfId="0" applyFill="1" applyBorder="1" applyAlignment="1">
      <alignment horizontal="center" vertical="center" wrapText="1"/>
    </xf>
    <xf numFmtId="0" fontId="5" fillId="3" borderId="0" xfId="0" applyFont="1" applyFill="1" applyAlignment="1">
      <alignment horizontal="left" vertical="center"/>
    </xf>
    <xf numFmtId="0" fontId="1" fillId="3" borderId="3" xfId="0" applyFont="1" applyFill="1" applyBorder="1" applyAlignment="1">
      <alignment horizontal="center" vertical="center" wrapText="1"/>
    </xf>
    <xf numFmtId="0" fontId="30" fillId="10" borderId="0" xfId="0" applyFont="1" applyFill="1" applyAlignment="1">
      <alignment horizontal="left" vertical="center" wrapText="1"/>
    </xf>
    <xf numFmtId="0" fontId="1" fillId="3" borderId="2" xfId="0" applyFont="1" applyFill="1" applyBorder="1" applyAlignment="1">
      <alignment horizontal="center" vertical="center" wrapText="1"/>
    </xf>
    <xf numFmtId="0" fontId="0" fillId="3" borderId="2" xfId="0" applyFill="1" applyBorder="1" applyAlignment="1">
      <alignment horizontal="left" vertical="center"/>
    </xf>
    <xf numFmtId="0" fontId="0" fillId="3" borderId="0" xfId="0" applyFill="1" applyAlignment="1">
      <alignment horizontal="left" vertical="center"/>
    </xf>
    <xf numFmtId="2" fontId="6" fillId="5" borderId="0" xfId="0" applyNumberFormat="1" applyFont="1" applyFill="1" applyAlignment="1">
      <alignment horizontal="center" vertical="center"/>
    </xf>
    <xf numFmtId="164" fontId="0" fillId="3" borderId="0" xfId="0" applyNumberFormat="1" applyFill="1" applyAlignment="1">
      <alignment horizontal="left" vertical="center"/>
    </xf>
    <xf numFmtId="0" fontId="6" fillId="5" borderId="0" xfId="0" applyFont="1" applyFill="1" applyAlignment="1">
      <alignment horizontal="center" vertical="center"/>
    </xf>
    <xf numFmtId="0" fontId="1" fillId="3" borderId="2" xfId="0" applyFont="1" applyFill="1" applyBorder="1" applyAlignment="1">
      <alignment vertical="center"/>
    </xf>
    <xf numFmtId="2" fontId="5" fillId="5" borderId="9" xfId="0" applyNumberFormat="1" applyFont="1" applyFill="1" applyBorder="1" applyAlignment="1">
      <alignment horizontal="center" vertical="center"/>
    </xf>
    <xf numFmtId="2" fontId="5" fillId="2" borderId="9" xfId="0" applyNumberFormat="1" applyFont="1" applyFill="1" applyBorder="1" applyAlignment="1">
      <alignment horizontal="center" vertical="center" wrapText="1"/>
    </xf>
    <xf numFmtId="2" fontId="5" fillId="4" borderId="9" xfId="0" applyNumberFormat="1" applyFont="1" applyFill="1" applyBorder="1" applyAlignment="1">
      <alignment horizontal="center" vertical="center" wrapText="1"/>
    </xf>
    <xf numFmtId="0" fontId="34" fillId="9" borderId="39" xfId="0" applyFont="1" applyFill="1" applyBorder="1" applyAlignment="1">
      <alignment vertical="center"/>
    </xf>
    <xf numFmtId="0" fontId="34" fillId="9" borderId="40" xfId="0" applyFont="1" applyFill="1" applyBorder="1" applyAlignment="1">
      <alignment vertical="center"/>
    </xf>
    <xf numFmtId="0" fontId="35" fillId="9" borderId="40" xfId="0" applyFont="1" applyFill="1" applyBorder="1" applyAlignment="1">
      <alignment vertical="center"/>
    </xf>
    <xf numFmtId="0" fontId="0" fillId="9" borderId="40" xfId="0" applyFill="1" applyBorder="1" applyAlignment="1">
      <alignment vertical="center"/>
    </xf>
    <xf numFmtId="0" fontId="0" fillId="9" borderId="41" xfId="0" applyFill="1" applyBorder="1" applyAlignment="1">
      <alignment vertical="center"/>
    </xf>
    <xf numFmtId="2" fontId="6" fillId="3" borderId="0" xfId="0" applyNumberFormat="1" applyFont="1" applyFill="1" applyAlignment="1">
      <alignment horizontal="center" vertical="center" wrapText="1"/>
    </xf>
    <xf numFmtId="164" fontId="6" fillId="3" borderId="0" xfId="0" applyNumberFormat="1" applyFont="1" applyFill="1" applyAlignment="1">
      <alignment horizontal="center" vertical="center" wrapText="1"/>
    </xf>
    <xf numFmtId="1" fontId="23" fillId="3" borderId="2" xfId="0" applyNumberFormat="1" applyFont="1" applyFill="1" applyBorder="1" applyAlignment="1">
      <alignment horizontal="left" vertical="center" shrinkToFit="1"/>
    </xf>
    <xf numFmtId="1" fontId="23" fillId="3" borderId="0" xfId="0" applyNumberFormat="1" applyFont="1" applyFill="1" applyAlignment="1">
      <alignment horizontal="left" vertical="center" shrinkToFit="1"/>
    </xf>
    <xf numFmtId="2" fontId="24" fillId="3" borderId="0" xfId="0" applyNumberFormat="1" applyFont="1" applyFill="1" applyAlignment="1">
      <alignment horizontal="center" vertical="center" shrinkToFit="1"/>
    </xf>
    <xf numFmtId="2" fontId="25" fillId="3" borderId="0" xfId="0" applyNumberFormat="1" applyFont="1" applyFill="1" applyAlignment="1">
      <alignment horizontal="center" vertical="center" shrinkToFit="1"/>
    </xf>
    <xf numFmtId="2" fontId="23" fillId="3" borderId="0" xfId="0" applyNumberFormat="1" applyFont="1" applyFill="1" applyAlignment="1">
      <alignment horizontal="left" vertical="center" shrinkToFit="1"/>
    </xf>
    <xf numFmtId="164" fontId="25" fillId="3" borderId="0" xfId="0" applyNumberFormat="1" applyFont="1" applyFill="1" applyAlignment="1">
      <alignment horizontal="center" vertical="center" shrinkToFit="1"/>
    </xf>
    <xf numFmtId="0" fontId="30" fillId="0" borderId="0" xfId="0" applyFont="1" applyAlignment="1">
      <alignment horizontal="left" vertical="center" wrapText="1"/>
    </xf>
    <xf numFmtId="164" fontId="5" fillId="3" borderId="9" xfId="0" applyNumberFormat="1" applyFont="1" applyFill="1" applyBorder="1" applyAlignment="1">
      <alignment horizontal="center" vertical="center" wrapText="1"/>
    </xf>
    <xf numFmtId="2" fontId="5" fillId="3" borderId="9" xfId="0" applyNumberFormat="1" applyFont="1" applyFill="1" applyBorder="1" applyAlignment="1">
      <alignment horizontal="center" vertical="center" wrapText="1"/>
    </xf>
    <xf numFmtId="2" fontId="23" fillId="3" borderId="1" xfId="0" applyNumberFormat="1" applyFont="1" applyFill="1" applyBorder="1" applyAlignment="1">
      <alignment horizontal="center" vertical="center" shrinkToFit="1"/>
    </xf>
    <xf numFmtId="164" fontId="23" fillId="3" borderId="1" xfId="0" applyNumberFormat="1" applyFont="1" applyFill="1" applyBorder="1" applyAlignment="1">
      <alignment horizontal="center" vertical="center" shrinkToFit="1"/>
    </xf>
    <xf numFmtId="1" fontId="24" fillId="3" borderId="2" xfId="0" applyNumberFormat="1" applyFont="1" applyFill="1" applyBorder="1" applyAlignment="1">
      <alignment horizontal="left" vertical="center" shrinkToFit="1"/>
    </xf>
    <xf numFmtId="1" fontId="24" fillId="3" borderId="0" xfId="0" applyNumberFormat="1" applyFont="1" applyFill="1" applyAlignment="1">
      <alignment horizontal="left" vertical="center" shrinkToFit="1"/>
    </xf>
    <xf numFmtId="0" fontId="0" fillId="0" borderId="0" xfId="0" applyAlignment="1">
      <alignment horizontal="left" vertical="center" wrapText="1"/>
    </xf>
    <xf numFmtId="167" fontId="13" fillId="3" borderId="1" xfId="0" applyNumberFormat="1" applyFont="1" applyFill="1" applyBorder="1" applyAlignment="1">
      <alignment horizontal="center" vertical="center"/>
    </xf>
    <xf numFmtId="166" fontId="13" fillId="3" borderId="1" xfId="0" applyNumberFormat="1" applyFont="1" applyFill="1" applyBorder="1" applyAlignment="1">
      <alignment horizontal="center" vertical="center"/>
    </xf>
    <xf numFmtId="2" fontId="13" fillId="3" borderId="1" xfId="0" applyNumberFormat="1" applyFont="1" applyFill="1" applyBorder="1" applyAlignment="1">
      <alignment horizontal="center" vertical="center" wrapText="1"/>
    </xf>
    <xf numFmtId="2" fontId="6" fillId="3" borderId="22" xfId="0" applyNumberFormat="1" applyFont="1" applyFill="1" applyBorder="1" applyAlignment="1">
      <alignment horizontal="center" vertical="center"/>
    </xf>
    <xf numFmtId="2" fontId="6" fillId="3" borderId="0" xfId="0" applyNumberFormat="1" applyFont="1" applyFill="1" applyAlignment="1">
      <alignment horizontal="center" vertical="center"/>
    </xf>
    <xf numFmtId="0" fontId="5" fillId="4" borderId="1" xfId="0" applyFont="1" applyFill="1" applyBorder="1" applyAlignment="1">
      <alignment horizontal="center" vertical="center" wrapText="1"/>
    </xf>
    <xf numFmtId="0" fontId="10" fillId="3" borderId="0" xfId="0" applyFont="1" applyFill="1" applyAlignment="1">
      <alignment horizontal="left" vertical="center" wrapText="1"/>
    </xf>
    <xf numFmtId="0" fontId="0" fillId="3" borderId="2" xfId="0" applyFill="1" applyBorder="1" applyAlignment="1">
      <alignment vertical="center" wrapText="1"/>
    </xf>
    <xf numFmtId="0" fontId="0" fillId="3" borderId="0" xfId="0" applyFill="1" applyAlignment="1">
      <alignment horizontal="right" vertical="center" wrapText="1"/>
    </xf>
    <xf numFmtId="0" fontId="10" fillId="3" borderId="0" xfId="0" applyFont="1" applyFill="1" applyAlignment="1">
      <alignment horizontal="left" vertical="center"/>
    </xf>
    <xf numFmtId="2" fontId="19" fillId="4" borderId="1" xfId="0" applyNumberFormat="1" applyFont="1" applyFill="1" applyBorder="1" applyAlignment="1">
      <alignment horizontal="center" vertical="center"/>
    </xf>
    <xf numFmtId="0" fontId="30" fillId="6" borderId="2" xfId="0" applyFont="1" applyFill="1" applyBorder="1" applyAlignment="1">
      <alignment horizontal="left" vertical="center" wrapText="1"/>
    </xf>
    <xf numFmtId="0" fontId="0" fillId="6" borderId="0" xfId="0" applyFill="1" applyAlignment="1">
      <alignment horizontal="left" vertical="center" wrapText="1"/>
    </xf>
    <xf numFmtId="0" fontId="1" fillId="6" borderId="0" xfId="0" applyFont="1" applyFill="1" applyAlignment="1">
      <alignment horizontal="center" vertical="center" wrapText="1"/>
    </xf>
    <xf numFmtId="2" fontId="14" fillId="6" borderId="0" xfId="0" applyNumberFormat="1" applyFont="1" applyFill="1" applyAlignment="1">
      <alignment horizontal="center" vertical="center"/>
    </xf>
    <xf numFmtId="0" fontId="0" fillId="6" borderId="3" xfId="0" applyFill="1" applyBorder="1" applyAlignment="1">
      <alignment horizontal="left" vertical="center" wrapText="1"/>
    </xf>
    <xf numFmtId="0" fontId="34" fillId="9" borderId="0" xfId="0" applyFont="1" applyFill="1" applyAlignment="1">
      <alignment vertical="top"/>
    </xf>
    <xf numFmtId="0" fontId="36" fillId="9" borderId="0" xfId="0" applyFont="1" applyFill="1" applyAlignment="1">
      <alignment vertical="top"/>
    </xf>
    <xf numFmtId="2" fontId="13" fillId="3" borderId="0" xfId="0" applyNumberFormat="1" applyFont="1" applyFill="1" applyAlignment="1">
      <alignment horizontal="center" vertical="center"/>
    </xf>
    <xf numFmtId="165" fontId="6" fillId="5" borderId="1" xfId="0" applyNumberFormat="1" applyFont="1" applyFill="1" applyBorder="1" applyAlignment="1">
      <alignment horizontal="center" vertical="center" wrapText="1"/>
    </xf>
    <xf numFmtId="1" fontId="13" fillId="5" borderId="5" xfId="0" applyNumberFormat="1" applyFont="1" applyFill="1" applyBorder="1" applyAlignment="1">
      <alignment horizontal="center" vertical="center"/>
    </xf>
    <xf numFmtId="1" fontId="13" fillId="5" borderId="32" xfId="0" applyNumberFormat="1" applyFont="1" applyFill="1" applyBorder="1" applyAlignment="1">
      <alignment horizontal="center" vertical="center"/>
    </xf>
    <xf numFmtId="9" fontId="0" fillId="3" borderId="2" xfId="0" applyNumberFormat="1" applyFill="1" applyBorder="1" applyAlignment="1">
      <alignment horizontal="left" vertical="center"/>
    </xf>
    <xf numFmtId="9" fontId="0" fillId="3" borderId="0" xfId="0" applyNumberFormat="1" applyFill="1" applyAlignment="1">
      <alignment horizontal="left" vertical="center"/>
    </xf>
    <xf numFmtId="2" fontId="13" fillId="5" borderId="32" xfId="0" applyNumberFormat="1" applyFont="1" applyFill="1" applyBorder="1" applyAlignment="1">
      <alignment horizontal="center" vertical="center"/>
    </xf>
    <xf numFmtId="2" fontId="13" fillId="5" borderId="33" xfId="0" applyNumberFormat="1" applyFont="1" applyFill="1" applyBorder="1" applyAlignment="1">
      <alignment horizontal="center" vertical="center"/>
    </xf>
    <xf numFmtId="0" fontId="19" fillId="3" borderId="0" xfId="0" applyFont="1" applyFill="1" applyAlignment="1">
      <alignment vertical="center"/>
    </xf>
    <xf numFmtId="168" fontId="6" fillId="3" borderId="0" xfId="0" applyNumberFormat="1" applyFont="1" applyFill="1" applyAlignment="1">
      <alignment horizontal="center" vertical="center"/>
    </xf>
    <xf numFmtId="0" fontId="6" fillId="3" borderId="0" xfId="0" applyFont="1" applyFill="1" applyAlignment="1">
      <alignment horizontal="center" vertical="center"/>
    </xf>
    <xf numFmtId="0" fontId="5" fillId="3" borderId="0" xfId="0" applyFont="1" applyFill="1" applyAlignment="1">
      <alignment vertical="center"/>
    </xf>
    <xf numFmtId="0" fontId="30" fillId="10" borderId="31" xfId="0" applyFont="1" applyFill="1" applyBorder="1" applyAlignment="1">
      <alignment horizontal="left" vertical="center" wrapText="1"/>
    </xf>
    <xf numFmtId="0" fontId="1" fillId="3" borderId="0" xfId="0" applyFont="1" applyFill="1" applyAlignment="1">
      <alignment horizontal="left" vertical="center"/>
    </xf>
    <xf numFmtId="0" fontId="8" fillId="3" borderId="0" xfId="0" applyFont="1" applyFill="1" applyAlignment="1">
      <alignment vertical="center"/>
    </xf>
    <xf numFmtId="1" fontId="0" fillId="3" borderId="11" xfId="0" applyNumberFormat="1" applyFill="1" applyBorder="1" applyAlignment="1">
      <alignment horizontal="center" vertical="center"/>
    </xf>
    <xf numFmtId="0" fontId="38" fillId="9" borderId="34" xfId="0" applyFont="1" applyFill="1" applyBorder="1" applyAlignment="1">
      <alignment vertical="center"/>
    </xf>
    <xf numFmtId="0" fontId="1" fillId="3" borderId="2" xfId="0" applyFont="1" applyFill="1" applyBorder="1" applyAlignment="1">
      <alignment horizontal="left" vertical="center"/>
    </xf>
    <xf numFmtId="1" fontId="0" fillId="4" borderId="9" xfId="0" applyNumberFormat="1" applyFill="1" applyBorder="1" applyAlignment="1">
      <alignment horizontal="center" vertical="center"/>
    </xf>
    <xf numFmtId="0" fontId="36" fillId="9" borderId="34" xfId="0" applyFont="1" applyFill="1" applyBorder="1" applyAlignment="1">
      <alignment vertical="center"/>
    </xf>
    <xf numFmtId="0" fontId="36" fillId="9" borderId="0" xfId="0" applyFont="1" applyFill="1" applyAlignment="1">
      <alignment vertical="center"/>
    </xf>
    <xf numFmtId="0" fontId="37" fillId="9" borderId="0" xfId="0" applyFont="1" applyFill="1" applyAlignment="1">
      <alignment vertical="center"/>
    </xf>
    <xf numFmtId="1" fontId="5" fillId="3" borderId="0" xfId="0" applyNumberFormat="1" applyFont="1" applyFill="1" applyAlignment="1">
      <alignment horizontal="center" vertical="center"/>
    </xf>
    <xf numFmtId="0" fontId="0" fillId="3" borderId="21" xfId="0" applyFill="1" applyBorder="1" applyAlignment="1">
      <alignment vertical="center"/>
    </xf>
    <xf numFmtId="0" fontId="0" fillId="3" borderId="37" xfId="0" applyFill="1" applyBorder="1" applyAlignment="1">
      <alignment vertical="center"/>
    </xf>
    <xf numFmtId="0" fontId="0" fillId="3" borderId="40" xfId="0" applyFill="1" applyBorder="1" applyAlignment="1">
      <alignment vertical="center"/>
    </xf>
    <xf numFmtId="0" fontId="0" fillId="3" borderId="41" xfId="0" applyFill="1" applyBorder="1" applyAlignment="1">
      <alignment vertical="center"/>
    </xf>
    <xf numFmtId="0" fontId="45" fillId="10" borderId="41" xfId="0" applyFont="1" applyFill="1" applyBorder="1" applyAlignment="1">
      <alignment horizontal="left" vertical="center" wrapText="1"/>
    </xf>
    <xf numFmtId="0" fontId="0" fillId="3" borderId="0" xfId="0" applyFill="1" applyAlignment="1">
      <alignment vertical="center" wrapText="1"/>
    </xf>
    <xf numFmtId="0" fontId="6" fillId="5" borderId="24" xfId="0" applyFont="1" applyFill="1" applyBorder="1" applyAlignment="1">
      <alignment horizontal="center" vertical="center"/>
    </xf>
    <xf numFmtId="0" fontId="34" fillId="9" borderId="0" xfId="0" applyFont="1" applyFill="1"/>
    <xf numFmtId="0" fontId="35" fillId="9" borderId="0" xfId="0" applyFont="1" applyFill="1"/>
    <xf numFmtId="2" fontId="0" fillId="3" borderId="0" xfId="0" applyNumberFormat="1" applyFill="1" applyAlignment="1">
      <alignment horizontal="left" vertical="center" wrapText="1"/>
    </xf>
    <xf numFmtId="1" fontId="6" fillId="5" borderId="24" xfId="0" applyNumberFormat="1" applyFont="1" applyFill="1" applyBorder="1" applyAlignment="1">
      <alignment horizontal="center" vertical="center"/>
    </xf>
    <xf numFmtId="1" fontId="6" fillId="5" borderId="25" xfId="0" applyNumberFormat="1" applyFont="1" applyFill="1" applyBorder="1" applyAlignment="1">
      <alignment horizontal="center" vertical="center"/>
    </xf>
    <xf numFmtId="0" fontId="0" fillId="4" borderId="9" xfId="0" applyFill="1" applyBorder="1" applyAlignment="1">
      <alignment horizontal="center" vertical="center"/>
    </xf>
    <xf numFmtId="0" fontId="6" fillId="3" borderId="3" xfId="0" applyFont="1" applyFill="1" applyBorder="1" applyAlignment="1">
      <alignment horizontal="center" vertical="center"/>
    </xf>
    <xf numFmtId="0" fontId="6" fillId="3" borderId="0" xfId="0" applyFont="1" applyFill="1" applyAlignment="1">
      <alignment horizontal="left" vertical="center"/>
    </xf>
    <xf numFmtId="0" fontId="0" fillId="0" borderId="31" xfId="0" applyBorder="1" applyAlignment="1">
      <alignment horizontal="center" vertical="center" wrapText="1"/>
    </xf>
    <xf numFmtId="0" fontId="45" fillId="10" borderId="31" xfId="0" applyFont="1" applyFill="1" applyBorder="1" applyAlignment="1">
      <alignment horizontal="left" vertical="center" wrapText="1"/>
    </xf>
    <xf numFmtId="0" fontId="34" fillId="9" borderId="36" xfId="0" applyFont="1" applyFill="1" applyBorder="1" applyAlignment="1">
      <alignment vertical="center"/>
    </xf>
    <xf numFmtId="0" fontId="34" fillId="9" borderId="21" xfId="0" applyFont="1" applyFill="1" applyBorder="1" applyAlignment="1">
      <alignment vertical="center"/>
    </xf>
    <xf numFmtId="0" fontId="35" fillId="9" borderId="21" xfId="0" applyFont="1" applyFill="1" applyBorder="1" applyAlignment="1">
      <alignment vertical="center"/>
    </xf>
    <xf numFmtId="0" fontId="0" fillId="9" borderId="21" xfId="0" applyFill="1" applyBorder="1" applyAlignment="1">
      <alignment vertical="center"/>
    </xf>
    <xf numFmtId="0" fontId="0" fillId="9" borderId="37" xfId="0" applyFill="1" applyBorder="1" applyAlignment="1">
      <alignment vertical="center"/>
    </xf>
    <xf numFmtId="0" fontId="1" fillId="3" borderId="2" xfId="0" applyFont="1" applyFill="1" applyBorder="1" applyAlignment="1">
      <alignment vertical="center" wrapText="1"/>
    </xf>
    <xf numFmtId="0" fontId="1" fillId="3" borderId="3" xfId="0" applyFont="1" applyFill="1" applyBorder="1" applyAlignment="1">
      <alignment horizontal="center" vertical="center"/>
    </xf>
    <xf numFmtId="0" fontId="1" fillId="3" borderId="0" xfId="0" applyFont="1" applyFill="1" applyAlignment="1">
      <alignment horizontal="center" vertical="center"/>
    </xf>
    <xf numFmtId="0" fontId="7" fillId="3" borderId="23" xfId="0" applyFont="1" applyFill="1" applyBorder="1" applyAlignment="1">
      <alignment horizontal="center" vertical="center" wrapText="1"/>
    </xf>
    <xf numFmtId="0" fontId="7" fillId="4" borderId="9" xfId="0" applyFont="1" applyFill="1" applyBorder="1" applyAlignment="1" applyProtection="1">
      <alignment horizontal="center" vertical="center"/>
      <protection locked="0"/>
    </xf>
    <xf numFmtId="0" fontId="5" fillId="4" borderId="1" xfId="0" applyFont="1" applyFill="1" applyBorder="1" applyAlignment="1" applyProtection="1">
      <alignment horizontal="center" vertical="center" wrapText="1"/>
      <protection locked="0"/>
    </xf>
    <xf numFmtId="0" fontId="0" fillId="11" borderId="0" xfId="0" applyFill="1" applyAlignment="1">
      <alignment horizontal="left" vertical="center" wrapText="1"/>
    </xf>
    <xf numFmtId="164" fontId="0" fillId="11" borderId="0" xfId="0" applyNumberFormat="1" applyFill="1" applyAlignment="1">
      <alignment horizontal="center" vertical="center" wrapText="1"/>
    </xf>
    <xf numFmtId="0" fontId="0" fillId="11" borderId="0" xfId="0" applyFill="1" applyAlignment="1">
      <alignment vertical="center"/>
    </xf>
    <xf numFmtId="0" fontId="0" fillId="11" borderId="0" xfId="0" applyFill="1" applyAlignment="1">
      <alignment horizontal="left" vertical="center"/>
    </xf>
    <xf numFmtId="2" fontId="0" fillId="11" borderId="0" xfId="0" applyNumberFormat="1" applyFill="1" applyAlignment="1">
      <alignment horizontal="center" vertical="center"/>
    </xf>
    <xf numFmtId="1" fontId="23" fillId="11" borderId="0" xfId="0" applyNumberFormat="1" applyFont="1" applyFill="1" applyAlignment="1">
      <alignment horizontal="left" vertical="center" shrinkToFit="1"/>
    </xf>
    <xf numFmtId="2" fontId="23" fillId="11" borderId="0" xfId="0" applyNumberFormat="1" applyFont="1" applyFill="1" applyAlignment="1">
      <alignment horizontal="center" vertical="center" shrinkToFit="1"/>
    </xf>
    <xf numFmtId="1" fontId="24" fillId="11" borderId="0" xfId="0" applyNumberFormat="1" applyFont="1" applyFill="1" applyAlignment="1">
      <alignment horizontal="left" vertical="center" shrinkToFit="1"/>
    </xf>
    <xf numFmtId="2" fontId="24" fillId="11" borderId="0" xfId="0" applyNumberFormat="1" applyFont="1" applyFill="1" applyAlignment="1">
      <alignment horizontal="center" vertical="center" shrinkToFit="1"/>
    </xf>
    <xf numFmtId="0" fontId="0" fillId="11" borderId="0" xfId="0" applyFill="1" applyAlignment="1">
      <alignment horizontal="center" vertical="center"/>
    </xf>
    <xf numFmtId="0" fontId="6" fillId="11" borderId="0" xfId="0" applyFont="1" applyFill="1" applyAlignment="1">
      <alignment vertical="center"/>
    </xf>
    <xf numFmtId="0" fontId="0" fillId="11" borderId="0" xfId="0" applyFill="1" applyAlignment="1">
      <alignment vertical="center" wrapText="1"/>
    </xf>
    <xf numFmtId="0" fontId="17" fillId="11" borderId="0" xfId="0" applyFont="1" applyFill="1" applyAlignment="1">
      <alignment horizontal="left" vertical="center"/>
    </xf>
    <xf numFmtId="0" fontId="17" fillId="11" borderId="0" xfId="0" applyFont="1" applyFill="1" applyAlignment="1">
      <alignment vertical="center"/>
    </xf>
    <xf numFmtId="2" fontId="21" fillId="11" borderId="0" xfId="0" applyNumberFormat="1" applyFont="1" applyFill="1" applyAlignment="1">
      <alignment vertical="center"/>
    </xf>
    <xf numFmtId="0" fontId="9" fillId="11" borderId="0" xfId="0" applyFont="1" applyFill="1" applyAlignment="1">
      <alignment vertical="center"/>
    </xf>
    <xf numFmtId="0" fontId="0" fillId="11" borderId="0" xfId="0" applyFill="1" applyAlignment="1">
      <alignment vertical="top" wrapText="1"/>
    </xf>
    <xf numFmtId="0" fontId="1" fillId="11" borderId="0" xfId="0" applyFont="1" applyFill="1" applyAlignment="1">
      <alignment vertical="top"/>
    </xf>
    <xf numFmtId="0" fontId="3" fillId="11" borderId="0" xfId="1" applyFill="1" applyBorder="1" applyAlignment="1" applyProtection="1">
      <alignment vertical="center"/>
    </xf>
    <xf numFmtId="0" fontId="6" fillId="11" borderId="2" xfId="0" applyFont="1" applyFill="1" applyBorder="1" applyAlignment="1">
      <alignment horizontal="center" vertical="center"/>
    </xf>
    <xf numFmtId="0" fontId="6" fillId="11" borderId="6" xfId="0" applyFont="1" applyFill="1" applyBorder="1" applyAlignment="1">
      <alignment horizontal="center" vertical="center"/>
    </xf>
    <xf numFmtId="0" fontId="0" fillId="11" borderId="0" xfId="0" applyFill="1" applyAlignment="1">
      <alignment horizontal="center" vertical="center" wrapText="1"/>
    </xf>
    <xf numFmtId="0" fontId="0" fillId="11" borderId="0" xfId="0" applyFill="1" applyAlignment="1">
      <alignment horizontal="center" vertical="center"/>
    </xf>
    <xf numFmtId="0" fontId="0" fillId="3" borderId="1" xfId="0" applyFill="1" applyBorder="1" applyAlignment="1">
      <alignment horizontal="center" vertical="center" wrapText="1"/>
    </xf>
    <xf numFmtId="0" fontId="43" fillId="8" borderId="36" xfId="0" applyFont="1" applyFill="1" applyBorder="1" applyAlignment="1">
      <alignment horizontal="center" wrapText="1"/>
    </xf>
    <xf numFmtId="0" fontId="43" fillId="8" borderId="21" xfId="0" applyFont="1" applyFill="1" applyBorder="1" applyAlignment="1">
      <alignment horizontal="center" wrapText="1"/>
    </xf>
    <xf numFmtId="0" fontId="43" fillId="8" borderId="37" xfId="0" applyFont="1" applyFill="1" applyBorder="1" applyAlignment="1">
      <alignment horizontal="center" wrapText="1"/>
    </xf>
    <xf numFmtId="0" fontId="43" fillId="8" borderId="34" xfId="0" applyFont="1" applyFill="1" applyBorder="1" applyAlignment="1">
      <alignment horizontal="center" wrapText="1"/>
    </xf>
    <xf numFmtId="0" fontId="43" fillId="8" borderId="0" xfId="0" applyFont="1" applyFill="1" applyAlignment="1">
      <alignment horizontal="center" wrapText="1"/>
    </xf>
    <xf numFmtId="0" fontId="43" fillId="8" borderId="38" xfId="0" applyFont="1" applyFill="1" applyBorder="1" applyAlignment="1">
      <alignment horizontal="center" wrapText="1"/>
    </xf>
    <xf numFmtId="0" fontId="43" fillId="8" borderId="39" xfId="0" applyFont="1" applyFill="1" applyBorder="1" applyAlignment="1">
      <alignment horizontal="center" wrapText="1"/>
    </xf>
    <xf numFmtId="0" fontId="43" fillId="8" borderId="40" xfId="0" applyFont="1" applyFill="1" applyBorder="1" applyAlignment="1">
      <alignment horizontal="center" wrapText="1"/>
    </xf>
    <xf numFmtId="0" fontId="43" fillId="8" borderId="41" xfId="0" applyFont="1" applyFill="1" applyBorder="1" applyAlignment="1">
      <alignment horizontal="center" wrapText="1"/>
    </xf>
    <xf numFmtId="0" fontId="7" fillId="4" borderId="2" xfId="0" applyFont="1" applyFill="1" applyBorder="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0" fillId="11" borderId="0" xfId="0" applyFill="1" applyAlignment="1">
      <alignment horizontal="left" vertical="center" wrapText="1"/>
    </xf>
    <xf numFmtId="0" fontId="1" fillId="3" borderId="1" xfId="0" applyFont="1" applyFill="1" applyBorder="1" applyAlignment="1">
      <alignment horizontal="center" vertical="center" wrapText="1"/>
    </xf>
    <xf numFmtId="0" fontId="1" fillId="3" borderId="2" xfId="0" applyFont="1" applyFill="1" applyBorder="1" applyAlignment="1">
      <alignment horizontal="left" vertical="center" wrapText="1"/>
    </xf>
    <xf numFmtId="0" fontId="1" fillId="3" borderId="0" xfId="0" applyFont="1" applyFill="1" applyAlignment="1">
      <alignment horizontal="left" vertical="center" wrapText="1"/>
    </xf>
    <xf numFmtId="0" fontId="44" fillId="10" borderId="42" xfId="0" applyFont="1" applyFill="1" applyBorder="1" applyAlignment="1">
      <alignment horizontal="left" vertical="center" wrapText="1"/>
    </xf>
    <xf numFmtId="0" fontId="44" fillId="10" borderId="27" xfId="0" applyFont="1" applyFill="1" applyBorder="1" applyAlignment="1">
      <alignment horizontal="left" vertical="center" wrapText="1"/>
    </xf>
    <xf numFmtId="0" fontId="44" fillId="10" borderId="43" xfId="0" applyFont="1" applyFill="1" applyBorder="1" applyAlignment="1">
      <alignment horizontal="left" vertical="center" wrapText="1"/>
    </xf>
    <xf numFmtId="0" fontId="30" fillId="5" borderId="2" xfId="0" applyFont="1" applyFill="1" applyBorder="1" applyAlignment="1">
      <alignment horizontal="left" vertical="center" wrapText="1"/>
    </xf>
    <xf numFmtId="0" fontId="30" fillId="5" borderId="0" xfId="0" applyFont="1" applyFill="1" applyAlignment="1">
      <alignment horizontal="left" vertical="center" wrapText="1"/>
    </xf>
    <xf numFmtId="0" fontId="30" fillId="5" borderId="3" xfId="0" applyFont="1" applyFill="1" applyBorder="1" applyAlignment="1">
      <alignment horizontal="left" vertical="center" wrapText="1"/>
    </xf>
    <xf numFmtId="0" fontId="0" fillId="11" borderId="27" xfId="0" applyFill="1" applyBorder="1" applyAlignment="1">
      <alignment horizontal="center" vertical="center" wrapText="1"/>
    </xf>
    <xf numFmtId="0" fontId="0" fillId="11" borderId="28"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7" xfId="0" applyFill="1" applyBorder="1" applyAlignment="1">
      <alignment horizontal="center" vertical="center" wrapText="1"/>
    </xf>
    <xf numFmtId="0" fontId="0" fillId="11" borderId="8" xfId="0" applyFill="1" applyBorder="1" applyAlignment="1">
      <alignment horizontal="center" vertical="center" wrapText="1"/>
    </xf>
    <xf numFmtId="0" fontId="30" fillId="11" borderId="26" xfId="0" applyFont="1" applyFill="1" applyBorder="1" applyAlignment="1">
      <alignment horizontal="center" vertical="center"/>
    </xf>
    <xf numFmtId="0" fontId="30" fillId="11" borderId="27" xfId="0" applyFont="1" applyFill="1" applyBorder="1" applyAlignment="1">
      <alignment horizontal="center" vertical="center"/>
    </xf>
    <xf numFmtId="0" fontId="30" fillId="11" borderId="28" xfId="0" applyFont="1" applyFill="1" applyBorder="1" applyAlignment="1">
      <alignment horizontal="center" vertical="center"/>
    </xf>
    <xf numFmtId="0" fontId="0" fillId="11" borderId="0" xfId="0" applyFill="1" applyAlignment="1">
      <alignment horizontal="left"/>
    </xf>
    <xf numFmtId="0" fontId="0" fillId="11" borderId="3" xfId="0" applyFill="1" applyBorder="1" applyAlignment="1">
      <alignment horizontal="left"/>
    </xf>
    <xf numFmtId="0" fontId="0" fillId="11" borderId="0" xfId="0" applyFill="1" applyAlignment="1">
      <alignment horizontal="left" vertical="center"/>
    </xf>
    <xf numFmtId="0" fontId="0" fillId="11" borderId="3" xfId="0" applyFill="1" applyBorder="1" applyAlignment="1">
      <alignment horizontal="left" vertical="center"/>
    </xf>
    <xf numFmtId="0" fontId="33" fillId="0" borderId="34" xfId="0" applyFont="1" applyBorder="1" applyAlignment="1">
      <alignment horizontal="center" vertical="center"/>
    </xf>
    <xf numFmtId="0" fontId="33" fillId="0" borderId="0" xfId="0" applyFont="1" applyAlignment="1">
      <alignment horizontal="center" vertical="center"/>
    </xf>
    <xf numFmtId="0" fontId="0" fillId="0" borderId="4" xfId="0" applyBorder="1" applyAlignment="1">
      <alignment horizontal="left" vertical="center" wrapText="1"/>
    </xf>
    <xf numFmtId="0" fontId="0" fillId="0" borderId="44" xfId="0" applyBorder="1" applyAlignment="1">
      <alignment horizontal="left" vertical="center" wrapText="1"/>
    </xf>
    <xf numFmtId="0" fontId="0" fillId="0" borderId="45" xfId="0" applyBorder="1" applyAlignment="1">
      <alignment horizontal="left" vertical="center" wrapText="1"/>
    </xf>
    <xf numFmtId="0" fontId="45" fillId="10" borderId="4" xfId="0" applyFont="1" applyFill="1" applyBorder="1" applyAlignment="1">
      <alignment horizontal="left" vertical="center" wrapText="1"/>
    </xf>
    <xf numFmtId="0" fontId="45" fillId="10" borderId="44" xfId="0" applyFont="1" applyFill="1" applyBorder="1" applyAlignment="1">
      <alignment horizontal="left" vertical="center" wrapText="1"/>
    </xf>
    <xf numFmtId="0" fontId="45" fillId="10" borderId="45" xfId="0" applyFont="1" applyFill="1" applyBorder="1" applyAlignment="1">
      <alignment horizontal="left" vertical="center" wrapText="1"/>
    </xf>
    <xf numFmtId="0" fontId="45" fillId="10" borderId="2" xfId="0" applyFont="1" applyFill="1" applyBorder="1" applyAlignment="1">
      <alignment horizontal="left" vertical="center" wrapText="1"/>
    </xf>
    <xf numFmtId="0" fontId="30" fillId="10" borderId="0" xfId="0" applyFont="1" applyFill="1" applyAlignment="1">
      <alignment horizontal="left" vertical="center" wrapText="1"/>
    </xf>
    <xf numFmtId="0" fontId="30" fillId="10" borderId="3" xfId="0" applyFont="1" applyFill="1" applyBorder="1" applyAlignment="1">
      <alignment horizontal="left" vertical="center" wrapText="1"/>
    </xf>
    <xf numFmtId="0" fontId="45" fillId="10" borderId="39" xfId="0" applyFont="1" applyFill="1" applyBorder="1" applyAlignment="1">
      <alignment horizontal="left" vertical="center" wrapText="1"/>
    </xf>
    <xf numFmtId="0" fontId="45" fillId="10" borderId="40" xfId="0" applyFont="1" applyFill="1" applyBorder="1" applyAlignment="1">
      <alignment horizontal="left" vertical="center" wrapText="1"/>
    </xf>
    <xf numFmtId="0" fontId="45" fillId="10" borderId="46"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0" xfId="0" applyFill="1" applyAlignment="1">
      <alignment horizontal="left" vertical="center" wrapText="1"/>
    </xf>
    <xf numFmtId="0" fontId="8" fillId="3" borderId="0" xfId="0" applyFont="1" applyFill="1" applyAlignment="1">
      <alignment horizontal="left" vertical="center"/>
    </xf>
    <xf numFmtId="0" fontId="5" fillId="3" borderId="10" xfId="0" applyFont="1" applyFill="1" applyBorder="1" applyAlignment="1">
      <alignment horizontal="left" vertical="center"/>
    </xf>
    <xf numFmtId="0" fontId="5" fillId="3" borderId="11" xfId="0" applyFont="1" applyFill="1" applyBorder="1" applyAlignment="1">
      <alignment horizontal="left" vertical="center"/>
    </xf>
    <xf numFmtId="0" fontId="5" fillId="3" borderId="12" xfId="0" applyFont="1" applyFill="1" applyBorder="1" applyAlignment="1">
      <alignment horizontal="left" vertical="center"/>
    </xf>
    <xf numFmtId="0" fontId="16" fillId="3" borderId="23" xfId="0" applyFont="1" applyFill="1" applyBorder="1" applyAlignment="1">
      <alignment horizontal="center" vertical="center" wrapText="1"/>
    </xf>
    <xf numFmtId="0" fontId="16" fillId="3" borderId="25" xfId="0" applyFont="1" applyFill="1" applyBorder="1" applyAlignment="1">
      <alignment horizontal="center" vertical="center" wrapText="1"/>
    </xf>
    <xf numFmtId="0" fontId="45" fillId="10" borderId="0" xfId="0" applyFont="1" applyFill="1" applyAlignment="1">
      <alignment horizontal="left" vertical="center" wrapText="1"/>
    </xf>
    <xf numFmtId="0" fontId="45" fillId="10" borderId="3" xfId="0" applyFont="1" applyFill="1" applyBorder="1" applyAlignment="1">
      <alignment horizontal="left" vertical="center" wrapText="1"/>
    </xf>
    <xf numFmtId="0" fontId="1" fillId="5" borderId="0" xfId="0" applyFont="1" applyFill="1" applyAlignment="1">
      <alignment horizontal="left" vertical="center" wrapText="1"/>
    </xf>
    <xf numFmtId="0" fontId="1" fillId="5" borderId="3" xfId="0" applyFont="1" applyFill="1" applyBorder="1" applyAlignment="1">
      <alignment horizontal="left" vertical="center" wrapText="1"/>
    </xf>
    <xf numFmtId="0" fontId="0" fillId="3" borderId="1" xfId="0" applyFill="1" applyBorder="1" applyAlignment="1">
      <alignment horizontal="center" vertical="center"/>
    </xf>
    <xf numFmtId="0" fontId="0" fillId="11" borderId="2" xfId="0" applyFill="1" applyBorder="1" applyAlignment="1">
      <alignment horizontal="left" vertical="center"/>
    </xf>
    <xf numFmtId="0" fontId="54" fillId="9" borderId="0" xfId="0" applyFont="1" applyFill="1" applyAlignment="1">
      <alignment horizontal="center" vertical="center"/>
    </xf>
    <xf numFmtId="0" fontId="0" fillId="9" borderId="0" xfId="0" applyFill="1" applyAlignment="1">
      <alignment horizontal="center" vertical="center"/>
    </xf>
    <xf numFmtId="0" fontId="0" fillId="3" borderId="0" xfId="0" applyFill="1" applyAlignment="1">
      <alignment horizontal="center" vertical="center" wrapText="1"/>
    </xf>
    <xf numFmtId="0" fontId="0" fillId="3" borderId="3" xfId="0" applyFill="1" applyBorder="1" applyAlignment="1">
      <alignment horizontal="center" vertical="center" wrapText="1"/>
    </xf>
    <xf numFmtId="0" fontId="0" fillId="11" borderId="7" xfId="0" applyFill="1" applyBorder="1" applyAlignment="1">
      <alignment horizontal="center" vertical="center"/>
    </xf>
    <xf numFmtId="0" fontId="0" fillId="11" borderId="8" xfId="0" applyFill="1" applyBorder="1" applyAlignment="1">
      <alignment horizontal="center" vertical="center"/>
    </xf>
    <xf numFmtId="0" fontId="6" fillId="3" borderId="36" xfId="0" applyFont="1" applyFill="1" applyBorder="1" applyAlignment="1">
      <alignment horizontal="left" vertical="center"/>
    </xf>
    <xf numFmtId="0" fontId="6" fillId="3" borderId="21" xfId="0" applyFont="1" applyFill="1" applyBorder="1" applyAlignment="1">
      <alignment horizontal="left" vertical="center"/>
    </xf>
    <xf numFmtId="0" fontId="6" fillId="3" borderId="39" xfId="0" applyFont="1" applyFill="1" applyBorder="1" applyAlignment="1">
      <alignment horizontal="left" vertical="center"/>
    </xf>
    <xf numFmtId="0" fontId="6" fillId="3" borderId="40" xfId="0" applyFont="1" applyFill="1" applyBorder="1" applyAlignment="1">
      <alignment horizontal="left" vertical="center"/>
    </xf>
    <xf numFmtId="0" fontId="1" fillId="11" borderId="0" xfId="0" applyFont="1" applyFill="1" applyAlignment="1">
      <alignment horizontal="left" vertical="center" wrapText="1"/>
    </xf>
    <xf numFmtId="0" fontId="1" fillId="11" borderId="3" xfId="0" applyFont="1" applyFill="1" applyBorder="1" applyAlignment="1">
      <alignment horizontal="left" vertical="center" wrapText="1"/>
    </xf>
    <xf numFmtId="0" fontId="1" fillId="11" borderId="6" xfId="0" applyFont="1" applyFill="1" applyBorder="1" applyAlignment="1">
      <alignment horizontal="left" vertical="center" wrapText="1"/>
    </xf>
    <xf numFmtId="0" fontId="1" fillId="11" borderId="7" xfId="0" applyFont="1" applyFill="1" applyBorder="1" applyAlignment="1">
      <alignment horizontal="left" vertical="center" wrapText="1"/>
    </xf>
    <xf numFmtId="0" fontId="1" fillId="11" borderId="8" xfId="0" applyFont="1" applyFill="1" applyBorder="1" applyAlignment="1">
      <alignment horizontal="left" vertical="center" wrapText="1"/>
    </xf>
    <xf numFmtId="0" fontId="10" fillId="3" borderId="26" xfId="0" applyFont="1" applyFill="1" applyBorder="1" applyAlignment="1">
      <alignment horizontal="left" vertical="center" wrapText="1"/>
    </xf>
    <xf numFmtId="0" fontId="10" fillId="3" borderId="27" xfId="0" applyFont="1" applyFill="1" applyBorder="1" applyAlignment="1">
      <alignment horizontal="left" vertical="center" wrapText="1"/>
    </xf>
    <xf numFmtId="0" fontId="10" fillId="3" borderId="28"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3" borderId="27" xfId="0" applyFont="1" applyFill="1" applyBorder="1" applyAlignment="1">
      <alignment horizontal="left" vertical="center"/>
    </xf>
    <xf numFmtId="0" fontId="10" fillId="3" borderId="28" xfId="0" applyFont="1" applyFill="1" applyBorder="1" applyAlignment="1">
      <alignment horizontal="left" vertical="center"/>
    </xf>
    <xf numFmtId="0" fontId="10" fillId="3" borderId="6" xfId="0" applyFont="1" applyFill="1" applyBorder="1" applyAlignment="1">
      <alignment horizontal="left" vertical="center"/>
    </xf>
    <xf numFmtId="0" fontId="10" fillId="3" borderId="7" xfId="0" applyFont="1" applyFill="1" applyBorder="1" applyAlignment="1">
      <alignment horizontal="left" vertical="center"/>
    </xf>
    <xf numFmtId="0" fontId="10" fillId="3" borderId="8" xfId="0" applyFont="1" applyFill="1" applyBorder="1" applyAlignment="1">
      <alignment horizontal="left" vertical="center"/>
    </xf>
    <xf numFmtId="0" fontId="0" fillId="3" borderId="22" xfId="0" applyFill="1" applyBorder="1" applyAlignment="1">
      <alignment horizontal="center" vertical="center" wrapText="1"/>
    </xf>
    <xf numFmtId="1" fontId="23" fillId="0" borderId="0" xfId="0" applyNumberFormat="1" applyFont="1" applyAlignment="1">
      <alignment horizontal="left" vertical="top" shrinkToFit="1"/>
    </xf>
    <xf numFmtId="0" fontId="0" fillId="0" borderId="1" xfId="0" applyBorder="1" applyAlignment="1">
      <alignment horizontal="center" wrapText="1"/>
    </xf>
    <xf numFmtId="0" fontId="45" fillId="11" borderId="2" xfId="0" applyFont="1" applyFill="1" applyBorder="1" applyAlignment="1">
      <alignment horizontal="left" vertical="center"/>
    </xf>
    <xf numFmtId="0" fontId="45" fillId="11" borderId="0" xfId="0" applyFont="1" applyFill="1" applyAlignment="1">
      <alignment horizontal="left" vertical="center"/>
    </xf>
    <xf numFmtId="0" fontId="45" fillId="11" borderId="3" xfId="0" applyFont="1" applyFill="1" applyBorder="1" applyAlignment="1">
      <alignment horizontal="left" vertical="center"/>
    </xf>
    <xf numFmtId="0" fontId="45" fillId="11" borderId="2" xfId="0" applyFont="1" applyFill="1" applyBorder="1" applyAlignment="1">
      <alignment horizontal="left"/>
    </xf>
    <xf numFmtId="0" fontId="45" fillId="11" borderId="0" xfId="0" applyFont="1" applyFill="1" applyAlignment="1">
      <alignment horizontal="left"/>
    </xf>
    <xf numFmtId="0" fontId="45" fillId="11" borderId="3" xfId="0" applyFont="1" applyFill="1" applyBorder="1" applyAlignment="1">
      <alignment horizontal="left"/>
    </xf>
    <xf numFmtId="0" fontId="32" fillId="11" borderId="0" xfId="0" applyFont="1" applyFill="1" applyAlignment="1">
      <alignment horizontal="left" vertical="center"/>
    </xf>
    <xf numFmtId="0" fontId="32" fillId="11" borderId="3" xfId="0" applyFont="1" applyFill="1" applyBorder="1" applyAlignment="1">
      <alignment horizontal="left" vertical="center"/>
    </xf>
    <xf numFmtId="0" fontId="45" fillId="11" borderId="26" xfId="0" applyFont="1" applyFill="1" applyBorder="1" applyAlignment="1">
      <alignment horizontal="left"/>
    </xf>
    <xf numFmtId="0" fontId="45" fillId="11" borderId="27" xfId="0" applyFont="1" applyFill="1" applyBorder="1" applyAlignment="1">
      <alignment horizontal="left"/>
    </xf>
    <xf numFmtId="0" fontId="45" fillId="11" borderId="28" xfId="0" applyFont="1" applyFill="1" applyBorder="1" applyAlignment="1">
      <alignment horizontal="left"/>
    </xf>
    <xf numFmtId="0" fontId="48" fillId="11" borderId="2" xfId="0" applyFont="1" applyFill="1" applyBorder="1" applyAlignment="1">
      <alignment horizontal="left" vertical="top" wrapText="1"/>
    </xf>
    <xf numFmtId="0" fontId="48" fillId="11" borderId="0" xfId="0" applyFont="1" applyFill="1" applyAlignment="1">
      <alignment horizontal="left" vertical="top" wrapText="1"/>
    </xf>
    <xf numFmtId="0" fontId="48" fillId="11" borderId="3" xfId="0" applyFont="1" applyFill="1" applyBorder="1" applyAlignment="1">
      <alignment horizontal="left" vertical="top" wrapText="1"/>
    </xf>
    <xf numFmtId="0" fontId="32" fillId="11" borderId="0" xfId="0" applyFont="1" applyFill="1" applyAlignment="1">
      <alignment horizontal="left" vertical="center" wrapText="1"/>
    </xf>
    <xf numFmtId="0" fontId="32" fillId="11" borderId="3" xfId="0" applyFont="1" applyFill="1" applyBorder="1" applyAlignment="1">
      <alignment horizontal="left" vertical="center" wrapText="1"/>
    </xf>
    <xf numFmtId="0" fontId="32" fillId="11" borderId="0" xfId="0" applyFont="1" applyFill="1" applyAlignment="1">
      <alignment horizontal="left"/>
    </xf>
    <xf numFmtId="0" fontId="46" fillId="11" borderId="0" xfId="0" applyFont="1" applyFill="1" applyAlignment="1">
      <alignment horizontal="left" vertical="center" wrapText="1"/>
    </xf>
    <xf numFmtId="0" fontId="28" fillId="0" borderId="0" xfId="0" applyFont="1" applyAlignment="1">
      <alignment horizontal="left" vertical="center"/>
    </xf>
    <xf numFmtId="0" fontId="16" fillId="5" borderId="0" xfId="0" applyFont="1" applyFill="1" applyAlignment="1">
      <alignment horizontal="left" vertical="center" wrapText="1"/>
    </xf>
  </cellXfs>
  <cellStyles count="2">
    <cellStyle name="Hyperlink" xfId="1" builtinId="8"/>
    <cellStyle name="Normal" xfId="0" builtinId="0"/>
  </cellStyles>
  <dxfs count="12">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9999"/>
      <color rgb="FF0066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ustomXml" Target="../customXml/item1.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0</xdr:col>
      <xdr:colOff>100853</xdr:colOff>
      <xdr:row>43</xdr:row>
      <xdr:rowOff>78441</xdr:rowOff>
    </xdr:from>
    <xdr:to>
      <xdr:col>0</xdr:col>
      <xdr:colOff>1299882</xdr:colOff>
      <xdr:row>47</xdr:row>
      <xdr:rowOff>222382</xdr:rowOff>
    </xdr:to>
    <xdr:pic>
      <xdr:nvPicPr>
        <xdr:cNvPr id="2" name="Picture 1">
          <a:extLst>
            <a:ext uri="{FF2B5EF4-FFF2-40B4-BE49-F238E27FC236}">
              <a16:creationId xmlns:a16="http://schemas.microsoft.com/office/drawing/2014/main" id="{620E829B-5A2D-4DBE-8137-6CA5E6E09126}"/>
            </a:ext>
          </a:extLst>
        </xdr:cNvPr>
        <xdr:cNvPicPr>
          <a:picLocks noChangeAspect="1"/>
        </xdr:cNvPicPr>
      </xdr:nvPicPr>
      <xdr:blipFill>
        <a:blip xmlns:r="http://schemas.openxmlformats.org/officeDocument/2006/relationships" r:embed="rId1"/>
        <a:stretch>
          <a:fillRect/>
        </a:stretch>
      </xdr:blipFill>
      <xdr:spPr>
        <a:xfrm>
          <a:off x="100853" y="8550088"/>
          <a:ext cx="1199029" cy="10964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71718</xdr:colOff>
      <xdr:row>1</xdr:row>
      <xdr:rowOff>39219</xdr:rowOff>
    </xdr:from>
    <xdr:to>
      <xdr:col>8</xdr:col>
      <xdr:colOff>39781</xdr:colOff>
      <xdr:row>6</xdr:row>
      <xdr:rowOff>117860</xdr:rowOff>
    </xdr:to>
    <xdr:pic>
      <xdr:nvPicPr>
        <xdr:cNvPr id="4" name="Picture 3">
          <a:extLst>
            <a:ext uri="{FF2B5EF4-FFF2-40B4-BE49-F238E27FC236}">
              <a16:creationId xmlns:a16="http://schemas.microsoft.com/office/drawing/2014/main" id="{5CCC8702-4DC7-4E3E-8BA7-56222D629821}"/>
            </a:ext>
          </a:extLst>
        </xdr:cNvPr>
        <xdr:cNvPicPr>
          <a:picLocks noChangeAspect="1"/>
        </xdr:cNvPicPr>
      </xdr:nvPicPr>
      <xdr:blipFill>
        <a:blip xmlns:r="http://schemas.openxmlformats.org/officeDocument/2006/relationships" r:embed="rId1"/>
        <a:stretch>
          <a:fillRect/>
        </a:stretch>
      </xdr:blipFill>
      <xdr:spPr>
        <a:xfrm>
          <a:off x="2693894" y="229719"/>
          <a:ext cx="4764181" cy="1031141"/>
        </a:xfrm>
        <a:prstGeom prst="rect">
          <a:avLst/>
        </a:prstGeom>
      </xdr:spPr>
    </xdr:pic>
    <xdr:clientData/>
  </xdr:twoCellAnchor>
  <xdr:twoCellAnchor editAs="oneCell">
    <xdr:from>
      <xdr:col>2</xdr:col>
      <xdr:colOff>102535</xdr:colOff>
      <xdr:row>7</xdr:row>
      <xdr:rowOff>94689</xdr:rowOff>
    </xdr:from>
    <xdr:to>
      <xdr:col>9</xdr:col>
      <xdr:colOff>325666</xdr:colOff>
      <xdr:row>14</xdr:row>
      <xdr:rowOff>138392</xdr:rowOff>
    </xdr:to>
    <xdr:pic>
      <xdr:nvPicPr>
        <xdr:cNvPr id="5" name="Picture 4">
          <a:extLst>
            <a:ext uri="{FF2B5EF4-FFF2-40B4-BE49-F238E27FC236}">
              <a16:creationId xmlns:a16="http://schemas.microsoft.com/office/drawing/2014/main" id="{D0F8B37D-250F-409C-AADF-0A7ED303A110}"/>
            </a:ext>
          </a:extLst>
        </xdr:cNvPr>
        <xdr:cNvPicPr>
          <a:picLocks noChangeAspect="1"/>
        </xdr:cNvPicPr>
      </xdr:nvPicPr>
      <xdr:blipFill>
        <a:blip xmlns:r="http://schemas.openxmlformats.org/officeDocument/2006/relationships" r:embed="rId2"/>
        <a:stretch>
          <a:fillRect/>
        </a:stretch>
      </xdr:blipFill>
      <xdr:spPr>
        <a:xfrm>
          <a:off x="2721910" y="1504389"/>
          <a:ext cx="5642856" cy="1377203"/>
        </a:xfrm>
        <a:prstGeom prst="rect">
          <a:avLst/>
        </a:prstGeom>
      </xdr:spPr>
    </xdr:pic>
    <xdr:clientData/>
  </xdr:twoCellAnchor>
  <xdr:twoCellAnchor editAs="oneCell">
    <xdr:from>
      <xdr:col>0</xdr:col>
      <xdr:colOff>0</xdr:colOff>
      <xdr:row>140</xdr:row>
      <xdr:rowOff>97876</xdr:rowOff>
    </xdr:from>
    <xdr:to>
      <xdr:col>9</xdr:col>
      <xdr:colOff>1310088</xdr:colOff>
      <xdr:row>167</xdr:row>
      <xdr:rowOff>27213</xdr:rowOff>
    </xdr:to>
    <xdr:pic>
      <xdr:nvPicPr>
        <xdr:cNvPr id="7" name="Picture 6">
          <a:extLst>
            <a:ext uri="{FF2B5EF4-FFF2-40B4-BE49-F238E27FC236}">
              <a16:creationId xmlns:a16="http://schemas.microsoft.com/office/drawing/2014/main" id="{C00EB639-DCDD-6833-C303-D069FD6519CF}"/>
            </a:ext>
          </a:extLst>
        </xdr:cNvPr>
        <xdr:cNvPicPr>
          <a:picLocks noChangeAspect="1"/>
        </xdr:cNvPicPr>
      </xdr:nvPicPr>
      <xdr:blipFill>
        <a:blip xmlns:r="http://schemas.openxmlformats.org/officeDocument/2006/relationships" r:embed="rId3"/>
        <a:stretch>
          <a:fillRect/>
        </a:stretch>
      </xdr:blipFill>
      <xdr:spPr>
        <a:xfrm>
          <a:off x="0" y="28169412"/>
          <a:ext cx="9351909" cy="5072837"/>
        </a:xfrm>
        <a:prstGeom prst="rect">
          <a:avLst/>
        </a:prstGeom>
      </xdr:spPr>
    </xdr:pic>
    <xdr:clientData/>
  </xdr:twoCellAnchor>
  <xdr:twoCellAnchor editAs="oneCell">
    <xdr:from>
      <xdr:col>0</xdr:col>
      <xdr:colOff>0</xdr:colOff>
      <xdr:row>45</xdr:row>
      <xdr:rowOff>100853</xdr:rowOff>
    </xdr:from>
    <xdr:to>
      <xdr:col>8</xdr:col>
      <xdr:colOff>314325</xdr:colOff>
      <xdr:row>69</xdr:row>
      <xdr:rowOff>137623</xdr:rowOff>
    </xdr:to>
    <xdr:pic>
      <xdr:nvPicPr>
        <xdr:cNvPr id="10" name="Picture 9">
          <a:extLst>
            <a:ext uri="{FF2B5EF4-FFF2-40B4-BE49-F238E27FC236}">
              <a16:creationId xmlns:a16="http://schemas.microsoft.com/office/drawing/2014/main" id="{5FB2A22F-EBF9-FAD0-8061-D4C54348331B}"/>
            </a:ext>
          </a:extLst>
        </xdr:cNvPr>
        <xdr:cNvPicPr>
          <a:picLocks noChangeAspect="1"/>
        </xdr:cNvPicPr>
      </xdr:nvPicPr>
      <xdr:blipFill>
        <a:blip xmlns:r="http://schemas.openxmlformats.org/officeDocument/2006/relationships" r:embed="rId4"/>
        <a:stretch>
          <a:fillRect/>
        </a:stretch>
      </xdr:blipFill>
      <xdr:spPr>
        <a:xfrm>
          <a:off x="0" y="8978153"/>
          <a:ext cx="7743825" cy="4608770"/>
        </a:xfrm>
        <a:prstGeom prst="rect">
          <a:avLst/>
        </a:prstGeom>
      </xdr:spPr>
    </xdr:pic>
    <xdr:clientData/>
  </xdr:twoCellAnchor>
  <xdr:oneCellAnchor>
    <xdr:from>
      <xdr:col>3</xdr:col>
      <xdr:colOff>392205</xdr:colOff>
      <xdr:row>98</xdr:row>
      <xdr:rowOff>145676</xdr:rowOff>
    </xdr:from>
    <xdr:ext cx="1134772" cy="1119984"/>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45E1570E-543E-4A4B-9A28-2B6AD2BB9DCE}"/>
                </a:ext>
              </a:extLst>
            </xdr:cNvPr>
            <xdr:cNvSpPr txBox="1"/>
          </xdr:nvSpPr>
          <xdr:spPr>
            <a:xfrm>
              <a:off x="3765176" y="20103352"/>
              <a:ext cx="1134772" cy="1119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AU" sz="1100" b="0" i="1">
                        <a:solidFill>
                          <a:schemeClr val="tx1"/>
                        </a:solidFill>
                        <a:effectLst/>
                        <a:latin typeface="Cambria Math" panose="02040503050406030204" pitchFamily="18" charset="0"/>
                        <a:ea typeface="+mn-ea"/>
                        <a:cs typeface="+mn-cs"/>
                      </a:rPr>
                      <m:t>𝑄</m:t>
                    </m:r>
                    <m:r>
                      <a:rPr lang="en-AU" sz="1100" b="0" i="1">
                        <a:solidFill>
                          <a:schemeClr val="tx1"/>
                        </a:solidFill>
                        <a:effectLst/>
                        <a:latin typeface="Cambria Math" panose="02040503050406030204" pitchFamily="18" charset="0"/>
                        <a:ea typeface="+mn-ea"/>
                        <a:cs typeface="+mn-cs"/>
                      </a:rPr>
                      <m:t>=</m:t>
                    </m:r>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𝐴</m:t>
                        </m:r>
                      </m:e>
                      <m:sub>
                        <m:r>
                          <a:rPr lang="en-AU" sz="1100" b="0" i="1">
                            <a:solidFill>
                              <a:schemeClr val="tx1"/>
                            </a:solidFill>
                            <a:effectLst/>
                            <a:latin typeface="Cambria Math" panose="02040503050406030204" pitchFamily="18" charset="0"/>
                            <a:ea typeface="+mn-ea"/>
                            <a:cs typeface="+mn-cs"/>
                          </a:rPr>
                          <m:t>𝑜</m:t>
                        </m:r>
                      </m:sub>
                    </m:sSub>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Cambria Math" panose="02040503050406030204" pitchFamily="18" charset="0"/>
                            <a:cs typeface="+mn-cs"/>
                          </a:rPr>
                          <m:t>∆</m:t>
                        </m:r>
                        <m:r>
                          <a:rPr lang="en-AU" sz="1100" b="0" i="1">
                            <a:solidFill>
                              <a:schemeClr val="tx1"/>
                            </a:solidFill>
                            <a:effectLst/>
                            <a:latin typeface="Cambria Math" panose="02040503050406030204" pitchFamily="18" charset="0"/>
                            <a:ea typeface="Cambria Math" panose="02040503050406030204" pitchFamily="18" charset="0"/>
                            <a:cs typeface="+mn-cs"/>
                          </a:rPr>
                          <m:t>𝑧</m:t>
                        </m:r>
                      </m:e>
                    </m:rad>
                  </m:oMath>
                </m:oMathPara>
              </a14:m>
              <a:endParaRPr lang="en-AU" sz="1100"/>
            </a:p>
          </xdr:txBody>
        </xdr:sp>
      </mc:Choice>
      <mc:Fallback xmlns="">
        <xdr:sp macro="" textlink="">
          <xdr:nvSpPr>
            <xdr:cNvPr id="2" name="TextBox 1">
              <a:extLst>
                <a:ext uri="{FF2B5EF4-FFF2-40B4-BE49-F238E27FC236}">
                  <a16:creationId xmlns:a16="http://schemas.microsoft.com/office/drawing/2014/main" id="{45E1570E-543E-4A4B-9A28-2B6AD2BB9DCE}"/>
                </a:ext>
              </a:extLst>
            </xdr:cNvPr>
            <xdr:cNvSpPr txBox="1"/>
          </xdr:nvSpPr>
          <xdr:spPr>
            <a:xfrm>
              <a:off x="3765176" y="20103352"/>
              <a:ext cx="1134772" cy="1119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𝑄=𝐴_𝑜 𝐶_𝑑 √2𝑔</a:t>
              </a:r>
              <a:r>
                <a:rPr lang="en-AU" sz="1100" b="0" i="0">
                  <a:solidFill>
                    <a:schemeClr val="tx1"/>
                  </a:solidFill>
                  <a:effectLst/>
                  <a:latin typeface="Cambria Math" panose="02040503050406030204" pitchFamily="18" charset="0"/>
                  <a:ea typeface="Cambria Math" panose="02040503050406030204" pitchFamily="18" charset="0"/>
                  <a:cs typeface="+mn-cs"/>
                </a:rPr>
                <a:t>∆𝑧</a:t>
              </a:r>
              <a:endParaRPr lang="en-AU" sz="1100"/>
            </a:p>
          </xdr:txBody>
        </xdr:sp>
      </mc:Fallback>
    </mc:AlternateContent>
    <xdr:clientData/>
  </xdr:oneCellAnchor>
  <xdr:oneCellAnchor>
    <xdr:from>
      <xdr:col>3</xdr:col>
      <xdr:colOff>224117</xdr:colOff>
      <xdr:row>100</xdr:row>
      <xdr:rowOff>156882</xdr:rowOff>
    </xdr:from>
    <xdr:ext cx="1228857" cy="1113034"/>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5FDCA4C2-7011-4736-9EC5-967D9F47A0EE}"/>
                </a:ext>
              </a:extLst>
            </xdr:cNvPr>
            <xdr:cNvSpPr txBox="1"/>
          </xdr:nvSpPr>
          <xdr:spPr>
            <a:xfrm>
              <a:off x="3597088" y="20495558"/>
              <a:ext cx="1228857" cy="1113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𝐴</m:t>
                        </m:r>
                      </m:e>
                      <m:sub>
                        <m:r>
                          <a:rPr lang="en-AU" sz="1100" b="0" i="1">
                            <a:solidFill>
                              <a:schemeClr val="tx1"/>
                            </a:solidFill>
                            <a:effectLst/>
                            <a:latin typeface="Cambria Math" panose="02040503050406030204" pitchFamily="18" charset="0"/>
                            <a:ea typeface="+mn-ea"/>
                            <a:cs typeface="+mn-cs"/>
                          </a:rPr>
                          <m:t>𝑜</m:t>
                        </m:r>
                      </m:sub>
                    </m:sSub>
                    <m:r>
                      <a:rPr lang="en-AU" sz="1100" b="0" i="1">
                        <a:solidFill>
                          <a:schemeClr val="tx1"/>
                        </a:solidFill>
                        <a:effectLst/>
                        <a:latin typeface="Cambria Math" panose="02040503050406030204" pitchFamily="18" charset="0"/>
                        <a:ea typeface="+mn-ea"/>
                        <a:cs typeface="+mn-cs"/>
                      </a:rPr>
                      <m:t>=</m:t>
                    </m:r>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𝑄</m:t>
                        </m:r>
                      </m:num>
                      <m:den>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mn-ea"/>
                                <a:cs typeface="+mn-cs"/>
                              </a:rPr>
                              <m:t>∆</m:t>
                            </m:r>
                            <m:r>
                              <a:rPr lang="en-AU" sz="1100" b="0" i="1">
                                <a:solidFill>
                                  <a:schemeClr val="tx1"/>
                                </a:solidFill>
                                <a:effectLst/>
                                <a:latin typeface="Cambria Math" panose="02040503050406030204" pitchFamily="18" charset="0"/>
                                <a:ea typeface="+mn-ea"/>
                                <a:cs typeface="+mn-cs"/>
                              </a:rPr>
                              <m:t>𝑧</m:t>
                            </m:r>
                          </m:e>
                        </m:rad>
                      </m:den>
                    </m:f>
                  </m:oMath>
                </m:oMathPara>
              </a14:m>
              <a:endParaRPr lang="en-AU" sz="1100"/>
            </a:p>
          </xdr:txBody>
        </xdr:sp>
      </mc:Choice>
      <mc:Fallback xmlns="">
        <xdr:sp macro="" textlink="">
          <xdr:nvSpPr>
            <xdr:cNvPr id="3" name="TextBox 2">
              <a:extLst>
                <a:ext uri="{FF2B5EF4-FFF2-40B4-BE49-F238E27FC236}">
                  <a16:creationId xmlns:a16="http://schemas.microsoft.com/office/drawing/2014/main" id="{5FDCA4C2-7011-4736-9EC5-967D9F47A0EE}"/>
                </a:ext>
              </a:extLst>
            </xdr:cNvPr>
            <xdr:cNvSpPr txBox="1"/>
          </xdr:nvSpPr>
          <xdr:spPr>
            <a:xfrm>
              <a:off x="3597088" y="20495558"/>
              <a:ext cx="1228857" cy="11130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𝐴_𝑜=𝑄/(𝐶_𝑑 √2𝑔∆𝑧)</a:t>
              </a:r>
              <a:endParaRPr lang="en-AU" sz="1100"/>
            </a:p>
          </xdr:txBody>
        </xdr:sp>
      </mc:Fallback>
    </mc:AlternateContent>
    <xdr:clientData/>
  </xdr:oneCellAnchor>
  <xdr:oneCellAnchor>
    <xdr:from>
      <xdr:col>3</xdr:col>
      <xdr:colOff>44823</xdr:colOff>
      <xdr:row>103</xdr:row>
      <xdr:rowOff>179294</xdr:rowOff>
    </xdr:from>
    <xdr:ext cx="1700123" cy="1123195"/>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72A1C736-8F4E-43C0-95C5-C96DCFF89E3F}"/>
                </a:ext>
              </a:extLst>
            </xdr:cNvPr>
            <xdr:cNvSpPr txBox="1"/>
          </xdr:nvSpPr>
          <xdr:spPr>
            <a:xfrm>
              <a:off x="3417794" y="21089470"/>
              <a:ext cx="1700123" cy="1123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p>
                      <m:sSupPr>
                        <m:ctrlPr>
                          <a:rPr lang="en-AU" sz="1100" b="0" i="1">
                            <a:solidFill>
                              <a:schemeClr val="tx1"/>
                            </a:solidFill>
                            <a:effectLst/>
                            <a:latin typeface="Cambria Math" panose="02040503050406030204" pitchFamily="18" charset="0"/>
                            <a:ea typeface="+mn-ea"/>
                            <a:cs typeface="+mn-cs"/>
                          </a:rPr>
                        </m:ctrlPr>
                      </m:sSupPr>
                      <m:e>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𝜋</m:t>
                            </m:r>
                          </m:num>
                          <m:den>
                            <m:r>
                              <a:rPr lang="en-AU" sz="1100" b="0" i="1">
                                <a:solidFill>
                                  <a:schemeClr val="tx1"/>
                                </a:solidFill>
                                <a:effectLst/>
                                <a:latin typeface="Cambria Math" panose="02040503050406030204" pitchFamily="18" charset="0"/>
                                <a:ea typeface="+mn-ea"/>
                                <a:cs typeface="+mn-cs"/>
                              </a:rPr>
                              <m:t>4</m:t>
                            </m:r>
                          </m:den>
                        </m:f>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𝐷</m:t>
                            </m:r>
                          </m:e>
                          <m:sub>
                            <m:r>
                              <a:rPr lang="en-AU" sz="1100" b="0" i="1">
                                <a:solidFill>
                                  <a:schemeClr val="tx1"/>
                                </a:solidFill>
                                <a:effectLst/>
                                <a:latin typeface="Cambria Math" panose="02040503050406030204" pitchFamily="18" charset="0"/>
                                <a:ea typeface="+mn-ea"/>
                                <a:cs typeface="+mn-cs"/>
                              </a:rPr>
                              <m:t>𝑜</m:t>
                            </m:r>
                          </m:sub>
                        </m:sSub>
                      </m:e>
                      <m:sup>
                        <m:r>
                          <a:rPr lang="en-AU" sz="1100" b="0" i="1">
                            <a:solidFill>
                              <a:schemeClr val="tx1"/>
                            </a:solidFill>
                            <a:effectLst/>
                            <a:latin typeface="Cambria Math" panose="02040503050406030204" pitchFamily="18" charset="0"/>
                            <a:ea typeface="+mn-ea"/>
                            <a:cs typeface="+mn-cs"/>
                          </a:rPr>
                          <m:t>2</m:t>
                        </m:r>
                      </m:sup>
                    </m:sSup>
                    <m:r>
                      <a:rPr lang="en-AU" sz="1100" b="0" i="1">
                        <a:solidFill>
                          <a:schemeClr val="tx1"/>
                        </a:solidFill>
                        <a:effectLst/>
                        <a:latin typeface="Cambria Math" panose="02040503050406030204" pitchFamily="18" charset="0"/>
                        <a:ea typeface="+mn-ea"/>
                        <a:cs typeface="+mn-cs"/>
                      </a:rPr>
                      <m:t>=</m:t>
                    </m:r>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𝑄</m:t>
                        </m:r>
                      </m:num>
                      <m:den>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mn-ea"/>
                                <a:cs typeface="+mn-cs"/>
                              </a:rPr>
                              <m:t>∆</m:t>
                            </m:r>
                            <m:r>
                              <a:rPr lang="en-AU" sz="1100" b="0" i="1">
                                <a:solidFill>
                                  <a:schemeClr val="tx1"/>
                                </a:solidFill>
                                <a:effectLst/>
                                <a:latin typeface="Cambria Math" panose="02040503050406030204" pitchFamily="18" charset="0"/>
                                <a:ea typeface="+mn-ea"/>
                                <a:cs typeface="+mn-cs"/>
                              </a:rPr>
                              <m:t>𝑧</m:t>
                            </m:r>
                          </m:e>
                        </m:rad>
                      </m:den>
                    </m:f>
                  </m:oMath>
                </m:oMathPara>
              </a14:m>
              <a:endParaRPr lang="en-AU" sz="1100"/>
            </a:p>
          </xdr:txBody>
        </xdr:sp>
      </mc:Choice>
      <mc:Fallback xmlns="">
        <xdr:sp macro="" textlink="">
          <xdr:nvSpPr>
            <xdr:cNvPr id="8" name="TextBox 7">
              <a:extLst>
                <a:ext uri="{FF2B5EF4-FFF2-40B4-BE49-F238E27FC236}">
                  <a16:creationId xmlns:a16="http://schemas.microsoft.com/office/drawing/2014/main" id="{72A1C736-8F4E-43C0-95C5-C96DCFF89E3F}"/>
                </a:ext>
              </a:extLst>
            </xdr:cNvPr>
            <xdr:cNvSpPr txBox="1"/>
          </xdr:nvSpPr>
          <xdr:spPr>
            <a:xfrm>
              <a:off x="3417794" y="21089470"/>
              <a:ext cx="1700123" cy="1123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〖𝜋/4 𝐷_𝑜〗^2=𝑄/(𝐶_𝑑 √2𝑔∆𝑧)</a:t>
              </a:r>
              <a:endParaRPr lang="en-AU" sz="1100"/>
            </a:p>
          </xdr:txBody>
        </xdr:sp>
      </mc:Fallback>
    </mc:AlternateContent>
    <xdr:clientData/>
  </xdr:oneCellAnchor>
  <xdr:oneCellAnchor>
    <xdr:from>
      <xdr:col>2</xdr:col>
      <xdr:colOff>739588</xdr:colOff>
      <xdr:row>106</xdr:row>
      <xdr:rowOff>145676</xdr:rowOff>
    </xdr:from>
    <xdr:ext cx="1547323" cy="1117605"/>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1E8E603D-1B2E-44C4-966D-C1706DE0A0AA}"/>
                </a:ext>
              </a:extLst>
            </xdr:cNvPr>
            <xdr:cNvSpPr txBox="1"/>
          </xdr:nvSpPr>
          <xdr:spPr>
            <a:xfrm>
              <a:off x="3361764" y="21627352"/>
              <a:ext cx="1547323" cy="11176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𝐷</m:t>
                        </m:r>
                      </m:e>
                      <m:sub>
                        <m:r>
                          <a:rPr lang="en-AU" sz="1100" b="0" i="1">
                            <a:solidFill>
                              <a:schemeClr val="tx1"/>
                            </a:solidFill>
                            <a:effectLst/>
                            <a:latin typeface="Cambria Math" panose="02040503050406030204" pitchFamily="18" charset="0"/>
                            <a:ea typeface="+mn-ea"/>
                            <a:cs typeface="+mn-cs"/>
                          </a:rPr>
                          <m:t>𝑜</m:t>
                        </m:r>
                      </m:sub>
                    </m:sSub>
                    <m:r>
                      <a:rPr lang="en-AU" sz="1100" b="0" i="1">
                        <a:solidFill>
                          <a:schemeClr val="tx1"/>
                        </a:solidFill>
                        <a:effectLst/>
                        <a:latin typeface="Cambria Math" panose="02040503050406030204" pitchFamily="18" charset="0"/>
                        <a:ea typeface="+mn-ea"/>
                        <a:cs typeface="+mn-cs"/>
                      </a:rPr>
                      <m:t>=</m:t>
                    </m:r>
                    <m:rad>
                      <m:radPr>
                        <m:degHide m:val="on"/>
                        <m:ctrlPr>
                          <a:rPr lang="en-AU" sz="1100" b="0" i="1">
                            <a:solidFill>
                              <a:schemeClr val="tx1"/>
                            </a:solidFill>
                            <a:effectLst/>
                            <a:latin typeface="Cambria Math" panose="02040503050406030204" pitchFamily="18" charset="0"/>
                            <a:ea typeface="+mn-ea"/>
                            <a:cs typeface="+mn-cs"/>
                          </a:rPr>
                        </m:ctrlPr>
                      </m:radPr>
                      <m:deg/>
                      <m:e>
                        <m:f>
                          <m:fPr>
                            <m:ctrlPr>
                              <a:rPr lang="en-AU" sz="1100" b="0" i="1">
                                <a:solidFill>
                                  <a:schemeClr val="tx1"/>
                                </a:solidFill>
                                <a:effectLst/>
                                <a:latin typeface="Cambria Math" panose="02040503050406030204" pitchFamily="18" charset="0"/>
                                <a:ea typeface="+mn-ea"/>
                                <a:cs typeface="+mn-cs"/>
                              </a:rPr>
                            </m:ctrlPr>
                          </m:fPr>
                          <m:num>
                            <m:r>
                              <a:rPr lang="en-AU" sz="1100" b="0" i="1">
                                <a:solidFill>
                                  <a:schemeClr val="tx1"/>
                                </a:solidFill>
                                <a:effectLst/>
                                <a:latin typeface="Cambria Math" panose="02040503050406030204" pitchFamily="18" charset="0"/>
                                <a:ea typeface="+mn-ea"/>
                                <a:cs typeface="+mn-cs"/>
                              </a:rPr>
                              <m:t>4</m:t>
                            </m:r>
                            <m:r>
                              <a:rPr lang="en-AU" sz="1100" b="0" i="1">
                                <a:solidFill>
                                  <a:schemeClr val="tx1"/>
                                </a:solidFill>
                                <a:effectLst/>
                                <a:latin typeface="Cambria Math" panose="02040503050406030204" pitchFamily="18" charset="0"/>
                                <a:ea typeface="+mn-ea"/>
                                <a:cs typeface="+mn-cs"/>
                              </a:rPr>
                              <m:t>𝑄</m:t>
                            </m:r>
                          </m:num>
                          <m:den>
                            <m:r>
                              <a:rPr lang="en-AU" sz="1100" b="0" i="1">
                                <a:solidFill>
                                  <a:schemeClr val="tx1"/>
                                </a:solidFill>
                                <a:effectLst/>
                                <a:latin typeface="Cambria Math" panose="02040503050406030204" pitchFamily="18" charset="0"/>
                                <a:ea typeface="+mn-ea"/>
                                <a:cs typeface="+mn-cs"/>
                              </a:rPr>
                              <m:t>𝜋</m:t>
                            </m:r>
                            <m:sSub>
                              <m:sSubPr>
                                <m:ctrlPr>
                                  <a:rPr lang="en-AU" sz="1100" b="0" i="1">
                                    <a:solidFill>
                                      <a:schemeClr val="tx1"/>
                                    </a:solidFill>
                                    <a:effectLst/>
                                    <a:latin typeface="Cambria Math" panose="02040503050406030204" pitchFamily="18" charset="0"/>
                                    <a:ea typeface="+mn-ea"/>
                                    <a:cs typeface="+mn-cs"/>
                                  </a:rPr>
                                </m:ctrlPr>
                              </m:sSubPr>
                              <m:e>
                                <m:r>
                                  <a:rPr lang="en-AU" sz="1100" b="0" i="1">
                                    <a:solidFill>
                                      <a:schemeClr val="tx1"/>
                                    </a:solidFill>
                                    <a:effectLst/>
                                    <a:latin typeface="Cambria Math" panose="02040503050406030204" pitchFamily="18" charset="0"/>
                                    <a:ea typeface="+mn-ea"/>
                                    <a:cs typeface="+mn-cs"/>
                                  </a:rPr>
                                  <m:t>𝐶</m:t>
                                </m:r>
                              </m:e>
                              <m:sub>
                                <m:r>
                                  <a:rPr lang="en-AU" sz="1100" b="0" i="1">
                                    <a:solidFill>
                                      <a:schemeClr val="tx1"/>
                                    </a:solidFill>
                                    <a:effectLst/>
                                    <a:latin typeface="Cambria Math" panose="02040503050406030204" pitchFamily="18" charset="0"/>
                                    <a:ea typeface="+mn-ea"/>
                                    <a:cs typeface="+mn-cs"/>
                                  </a:rPr>
                                  <m:t>𝑑</m:t>
                                </m:r>
                              </m:sub>
                            </m:sSub>
                            <m:rad>
                              <m:radPr>
                                <m:degHide m:val="on"/>
                                <m:ctrlPr>
                                  <a:rPr lang="en-AU" sz="1100" b="0" i="1">
                                    <a:solidFill>
                                      <a:schemeClr val="tx1"/>
                                    </a:solidFill>
                                    <a:effectLst/>
                                    <a:latin typeface="Cambria Math" panose="02040503050406030204" pitchFamily="18" charset="0"/>
                                    <a:ea typeface="+mn-ea"/>
                                    <a:cs typeface="+mn-cs"/>
                                  </a:rPr>
                                </m:ctrlPr>
                              </m:radPr>
                              <m:deg/>
                              <m:e>
                                <m:r>
                                  <a:rPr lang="en-AU" sz="1100" b="0" i="1">
                                    <a:solidFill>
                                      <a:schemeClr val="tx1"/>
                                    </a:solidFill>
                                    <a:effectLst/>
                                    <a:latin typeface="Cambria Math" panose="02040503050406030204" pitchFamily="18" charset="0"/>
                                    <a:ea typeface="+mn-ea"/>
                                    <a:cs typeface="+mn-cs"/>
                                  </a:rPr>
                                  <m:t>2</m:t>
                                </m:r>
                                <m:r>
                                  <a:rPr lang="en-AU" sz="1100" b="0" i="1">
                                    <a:solidFill>
                                      <a:schemeClr val="tx1"/>
                                    </a:solidFill>
                                    <a:effectLst/>
                                    <a:latin typeface="Cambria Math" panose="02040503050406030204" pitchFamily="18" charset="0"/>
                                    <a:ea typeface="+mn-ea"/>
                                    <a:cs typeface="+mn-cs"/>
                                  </a:rPr>
                                  <m:t>𝑔</m:t>
                                </m:r>
                                <m:r>
                                  <a:rPr lang="en-AU" sz="1100" b="0" i="1">
                                    <a:solidFill>
                                      <a:schemeClr val="tx1"/>
                                    </a:solidFill>
                                    <a:effectLst/>
                                    <a:latin typeface="Cambria Math" panose="02040503050406030204" pitchFamily="18" charset="0"/>
                                    <a:ea typeface="+mn-ea"/>
                                    <a:cs typeface="+mn-cs"/>
                                  </a:rPr>
                                  <m:t>∆</m:t>
                                </m:r>
                                <m:r>
                                  <a:rPr lang="en-AU" sz="1100" b="0" i="1">
                                    <a:solidFill>
                                      <a:schemeClr val="tx1"/>
                                    </a:solidFill>
                                    <a:effectLst/>
                                    <a:latin typeface="Cambria Math" panose="02040503050406030204" pitchFamily="18" charset="0"/>
                                    <a:ea typeface="+mn-ea"/>
                                    <a:cs typeface="+mn-cs"/>
                                  </a:rPr>
                                  <m:t>𝑧</m:t>
                                </m:r>
                              </m:e>
                            </m:rad>
                          </m:den>
                        </m:f>
                      </m:e>
                    </m:rad>
                  </m:oMath>
                </m:oMathPara>
              </a14:m>
              <a:endParaRPr lang="en-AU" sz="1100"/>
            </a:p>
          </xdr:txBody>
        </xdr:sp>
      </mc:Choice>
      <mc:Fallback xmlns="">
        <xdr:sp macro="" textlink="">
          <xdr:nvSpPr>
            <xdr:cNvPr id="11" name="TextBox 10">
              <a:extLst>
                <a:ext uri="{FF2B5EF4-FFF2-40B4-BE49-F238E27FC236}">
                  <a16:creationId xmlns:a16="http://schemas.microsoft.com/office/drawing/2014/main" id="{1E8E603D-1B2E-44C4-966D-C1706DE0A0AA}"/>
                </a:ext>
              </a:extLst>
            </xdr:cNvPr>
            <xdr:cNvSpPr txBox="1"/>
          </xdr:nvSpPr>
          <xdr:spPr>
            <a:xfrm>
              <a:off x="3361764" y="21627352"/>
              <a:ext cx="1547323" cy="11176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AU" sz="1100" b="0" i="0">
                  <a:solidFill>
                    <a:schemeClr val="tx1"/>
                  </a:solidFill>
                  <a:effectLst/>
                  <a:latin typeface="Cambria Math" panose="02040503050406030204" pitchFamily="18" charset="0"/>
                  <a:ea typeface="+mn-ea"/>
                  <a:cs typeface="+mn-cs"/>
                </a:rPr>
                <a:t>𝐷_𝑜=√(4𝑄/(𝜋𝐶_𝑑 √2𝑔∆𝑧))</a:t>
              </a:r>
              <a:endParaRPr lang="en-AU" sz="1100"/>
            </a:p>
          </xdr:txBody>
        </xdr:sp>
      </mc:Fallback>
    </mc:AlternateContent>
    <xdr:clientData/>
  </xdr:oneCellAnchor>
  <xdr:twoCellAnchor editAs="oneCell">
    <xdr:from>
      <xdr:col>0</xdr:col>
      <xdr:colOff>0</xdr:colOff>
      <xdr:row>108</xdr:row>
      <xdr:rowOff>3</xdr:rowOff>
    </xdr:from>
    <xdr:to>
      <xdr:col>3</xdr:col>
      <xdr:colOff>315558</xdr:colOff>
      <xdr:row>116</xdr:row>
      <xdr:rowOff>78442</xdr:rowOff>
    </xdr:to>
    <xdr:pic>
      <xdr:nvPicPr>
        <xdr:cNvPr id="6" name="Picture 5">
          <a:extLst>
            <a:ext uri="{FF2B5EF4-FFF2-40B4-BE49-F238E27FC236}">
              <a16:creationId xmlns:a16="http://schemas.microsoft.com/office/drawing/2014/main" id="{9A5DAAB2-3505-E054-87B3-6812A0ADFC73}"/>
            </a:ext>
          </a:extLst>
        </xdr:cNvPr>
        <xdr:cNvPicPr>
          <a:picLocks noChangeAspect="1"/>
        </xdr:cNvPicPr>
      </xdr:nvPicPr>
      <xdr:blipFill>
        <a:blip xmlns:r="http://schemas.openxmlformats.org/officeDocument/2006/relationships" r:embed="rId5"/>
        <a:stretch>
          <a:fillRect/>
        </a:stretch>
      </xdr:blipFill>
      <xdr:spPr>
        <a:xfrm>
          <a:off x="0" y="21862679"/>
          <a:ext cx="3688529" cy="1602439"/>
        </a:xfrm>
        <a:prstGeom prst="rect">
          <a:avLst/>
        </a:prstGeom>
      </xdr:spPr>
    </xdr:pic>
    <xdr:clientData/>
  </xdr:twoCellAnchor>
  <xdr:twoCellAnchor editAs="oneCell">
    <xdr:from>
      <xdr:col>0</xdr:col>
      <xdr:colOff>35859</xdr:colOff>
      <xdr:row>116</xdr:row>
      <xdr:rowOff>79561</xdr:rowOff>
    </xdr:from>
    <xdr:to>
      <xdr:col>6</xdr:col>
      <xdr:colOff>909356</xdr:colOff>
      <xdr:row>139</xdr:row>
      <xdr:rowOff>3361</xdr:rowOff>
    </xdr:to>
    <xdr:pic>
      <xdr:nvPicPr>
        <xdr:cNvPr id="9" name="Picture 8">
          <a:extLst>
            <a:ext uri="{FF2B5EF4-FFF2-40B4-BE49-F238E27FC236}">
              <a16:creationId xmlns:a16="http://schemas.microsoft.com/office/drawing/2014/main" id="{3BB40EF9-4970-D05D-663A-70822EAE54D2}"/>
            </a:ext>
          </a:extLst>
        </xdr:cNvPr>
        <xdr:cNvPicPr>
          <a:picLocks noChangeAspect="1"/>
        </xdr:cNvPicPr>
      </xdr:nvPicPr>
      <xdr:blipFill>
        <a:blip xmlns:r="http://schemas.openxmlformats.org/officeDocument/2006/relationships" r:embed="rId6"/>
        <a:stretch>
          <a:fillRect/>
        </a:stretch>
      </xdr:blipFill>
      <xdr:spPr>
        <a:xfrm>
          <a:off x="35859" y="23644411"/>
          <a:ext cx="6074147" cy="4305300"/>
        </a:xfrm>
        <a:prstGeom prst="rect">
          <a:avLst/>
        </a:prstGeom>
      </xdr:spPr>
    </xdr:pic>
    <xdr:clientData/>
  </xdr:twoCellAnchor>
  <xdr:twoCellAnchor editAs="oneCell">
    <xdr:from>
      <xdr:col>5</xdr:col>
      <xdr:colOff>602878</xdr:colOff>
      <xdr:row>100</xdr:row>
      <xdr:rowOff>0</xdr:rowOff>
    </xdr:from>
    <xdr:to>
      <xdr:col>9</xdr:col>
      <xdr:colOff>1197157</xdr:colOff>
      <xdr:row>115</xdr:row>
      <xdr:rowOff>110565</xdr:rowOff>
    </xdr:to>
    <xdr:pic>
      <xdr:nvPicPr>
        <xdr:cNvPr id="12" name="Picture 11">
          <a:extLst>
            <a:ext uri="{FF2B5EF4-FFF2-40B4-BE49-F238E27FC236}">
              <a16:creationId xmlns:a16="http://schemas.microsoft.com/office/drawing/2014/main" id="{5DDCF655-AF16-4CCC-A24F-F3CED10D9D83}"/>
            </a:ext>
          </a:extLst>
        </xdr:cNvPr>
        <xdr:cNvPicPr>
          <a:picLocks noChangeAspect="1"/>
        </xdr:cNvPicPr>
      </xdr:nvPicPr>
      <xdr:blipFill>
        <a:blip xmlns:r="http://schemas.openxmlformats.org/officeDocument/2006/relationships" r:embed="rId7"/>
        <a:stretch>
          <a:fillRect/>
        </a:stretch>
      </xdr:blipFill>
      <xdr:spPr>
        <a:xfrm>
          <a:off x="5186084" y="20338676"/>
          <a:ext cx="4034485" cy="2968065"/>
        </a:xfrm>
        <a:prstGeom prst="rect">
          <a:avLst/>
        </a:prstGeom>
      </xdr:spPr>
    </xdr:pic>
    <xdr:clientData/>
  </xdr:twoCellAnchor>
  <xdr:twoCellAnchor editAs="oneCell">
    <xdr:from>
      <xdr:col>3</xdr:col>
      <xdr:colOff>6164</xdr:colOff>
      <xdr:row>24</xdr:row>
      <xdr:rowOff>17930</xdr:rowOff>
    </xdr:from>
    <xdr:to>
      <xdr:col>9</xdr:col>
      <xdr:colOff>288052</xdr:colOff>
      <xdr:row>42</xdr:row>
      <xdr:rowOff>188258</xdr:rowOff>
    </xdr:to>
    <xdr:pic>
      <xdr:nvPicPr>
        <xdr:cNvPr id="13" name="Picture 12">
          <a:extLst>
            <a:ext uri="{FF2B5EF4-FFF2-40B4-BE49-F238E27FC236}">
              <a16:creationId xmlns:a16="http://schemas.microsoft.com/office/drawing/2014/main" id="{A58D3FD5-57C7-A36A-D9A4-37D511A368E8}"/>
            </a:ext>
          </a:extLst>
        </xdr:cNvPr>
        <xdr:cNvPicPr>
          <a:picLocks noChangeAspect="1"/>
        </xdr:cNvPicPr>
      </xdr:nvPicPr>
      <xdr:blipFill>
        <a:blip xmlns:r="http://schemas.openxmlformats.org/officeDocument/2006/relationships" r:embed="rId8"/>
        <a:stretch>
          <a:fillRect/>
        </a:stretch>
      </xdr:blipFill>
      <xdr:spPr>
        <a:xfrm>
          <a:off x="3378014" y="4818530"/>
          <a:ext cx="4949138" cy="3599328"/>
        </a:xfrm>
        <a:prstGeom prst="rect">
          <a:avLst/>
        </a:prstGeom>
      </xdr:spPr>
    </xdr:pic>
    <xdr:clientData/>
  </xdr:twoCellAnchor>
  <xdr:twoCellAnchor editAs="oneCell">
    <xdr:from>
      <xdr:col>0</xdr:col>
      <xdr:colOff>0</xdr:colOff>
      <xdr:row>32</xdr:row>
      <xdr:rowOff>67234</xdr:rowOff>
    </xdr:from>
    <xdr:to>
      <xdr:col>4</xdr:col>
      <xdr:colOff>12113</xdr:colOff>
      <xdr:row>43</xdr:row>
      <xdr:rowOff>112059</xdr:rowOff>
    </xdr:to>
    <xdr:pic>
      <xdr:nvPicPr>
        <xdr:cNvPr id="14" name="Picture 13">
          <a:extLst>
            <a:ext uri="{FF2B5EF4-FFF2-40B4-BE49-F238E27FC236}">
              <a16:creationId xmlns:a16="http://schemas.microsoft.com/office/drawing/2014/main" id="{A9DB65C0-3C89-2289-4C4A-17C9D748E8F0}"/>
            </a:ext>
          </a:extLst>
        </xdr:cNvPr>
        <xdr:cNvPicPr>
          <a:picLocks noChangeAspect="1"/>
        </xdr:cNvPicPr>
      </xdr:nvPicPr>
      <xdr:blipFill>
        <a:blip xmlns:r="http://schemas.openxmlformats.org/officeDocument/2006/relationships" r:embed="rId9"/>
        <a:stretch>
          <a:fillRect/>
        </a:stretch>
      </xdr:blipFill>
      <xdr:spPr>
        <a:xfrm>
          <a:off x="0" y="6432175"/>
          <a:ext cx="3990201" cy="2140325"/>
        </a:xfrm>
        <a:prstGeom prst="rect">
          <a:avLst/>
        </a:prstGeom>
      </xdr:spPr>
    </xdr:pic>
    <xdr:clientData/>
  </xdr:twoCellAnchor>
  <xdr:twoCellAnchor editAs="oneCell">
    <xdr:from>
      <xdr:col>4</xdr:col>
      <xdr:colOff>499222</xdr:colOff>
      <xdr:row>73</xdr:row>
      <xdr:rowOff>47626</xdr:rowOff>
    </xdr:from>
    <xdr:to>
      <xdr:col>8</xdr:col>
      <xdr:colOff>38074</xdr:colOff>
      <xdr:row>83</xdr:row>
      <xdr:rowOff>168087</xdr:rowOff>
    </xdr:to>
    <xdr:pic>
      <xdr:nvPicPr>
        <xdr:cNvPr id="15" name="Picture 14">
          <a:extLst>
            <a:ext uri="{FF2B5EF4-FFF2-40B4-BE49-F238E27FC236}">
              <a16:creationId xmlns:a16="http://schemas.microsoft.com/office/drawing/2014/main" id="{83DB6577-725A-D740-86F7-20E4C1560658}"/>
            </a:ext>
          </a:extLst>
        </xdr:cNvPr>
        <xdr:cNvPicPr>
          <a:picLocks noChangeAspect="1"/>
        </xdr:cNvPicPr>
      </xdr:nvPicPr>
      <xdr:blipFill>
        <a:blip xmlns:r="http://schemas.openxmlformats.org/officeDocument/2006/relationships" r:embed="rId10"/>
        <a:stretch>
          <a:fillRect/>
        </a:stretch>
      </xdr:blipFill>
      <xdr:spPr>
        <a:xfrm>
          <a:off x="4477310" y="14895420"/>
          <a:ext cx="2979058" cy="2215961"/>
        </a:xfrm>
        <a:prstGeom prst="rect">
          <a:avLst/>
        </a:prstGeom>
      </xdr:spPr>
    </xdr:pic>
    <xdr:clientData/>
  </xdr:twoCellAnchor>
  <xdr:twoCellAnchor>
    <xdr:from>
      <xdr:col>0</xdr:col>
      <xdr:colOff>0</xdr:colOff>
      <xdr:row>0</xdr:row>
      <xdr:rowOff>133347</xdr:rowOff>
    </xdr:from>
    <xdr:to>
      <xdr:col>15</xdr:col>
      <xdr:colOff>123825</xdr:colOff>
      <xdr:row>175</xdr:row>
      <xdr:rowOff>0</xdr:rowOff>
    </xdr:to>
    <xdr:sp macro="" textlink="">
      <xdr:nvSpPr>
        <xdr:cNvPr id="16" name="Rectangle 15">
          <a:extLst>
            <a:ext uri="{FF2B5EF4-FFF2-40B4-BE49-F238E27FC236}">
              <a16:creationId xmlns:a16="http://schemas.microsoft.com/office/drawing/2014/main" id="{EC4A5C71-CFCC-4F1C-0E6B-5D9183C5BD27}"/>
            </a:ext>
          </a:extLst>
        </xdr:cNvPr>
        <xdr:cNvSpPr/>
      </xdr:nvSpPr>
      <xdr:spPr>
        <a:xfrm>
          <a:off x="0" y="133347"/>
          <a:ext cx="12534900" cy="34756728"/>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www.bom.gov.au/water/designRainfalls/revised-ifd/"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1D067-A710-4553-B734-80C36EFA786E}">
  <sheetPr codeName="Sheet2">
    <pageSetUpPr fitToPage="1"/>
  </sheetPr>
  <dimension ref="A1:BC111"/>
  <sheetViews>
    <sheetView tabSelected="1" topLeftCell="A3" zoomScale="85" zoomScaleNormal="85" workbookViewId="0">
      <selection activeCell="D4" sqref="D4:F4"/>
    </sheetView>
  </sheetViews>
  <sheetFormatPr defaultColWidth="9.140625" defaultRowHeight="15" x14ac:dyDescent="0.25"/>
  <cols>
    <col min="1" max="1" width="38.42578125" style="302" customWidth="1"/>
    <col min="2" max="2" width="8.5703125" style="302" customWidth="1"/>
    <col min="3" max="3" width="14.28515625" style="302" customWidth="1"/>
    <col min="4" max="4" width="14.140625" style="302" bestFit="1" customWidth="1"/>
    <col min="5" max="5" width="14.140625" style="302" customWidth="1"/>
    <col min="6" max="6" width="14.7109375" style="302" bestFit="1" customWidth="1"/>
    <col min="7" max="7" width="16" style="302" hidden="1" customWidth="1"/>
    <col min="8" max="8" width="15.85546875" style="302" hidden="1" customWidth="1"/>
    <col min="9" max="9" width="16.42578125" style="302" hidden="1" customWidth="1"/>
    <col min="10" max="10" width="19.42578125" style="302" hidden="1" customWidth="1"/>
    <col min="11" max="11" width="10.140625" style="302" customWidth="1"/>
    <col min="12" max="12" width="21.140625" style="302" hidden="1" customWidth="1"/>
    <col min="13" max="13" width="12" style="302" hidden="1" customWidth="1"/>
    <col min="14" max="14" width="12.140625" style="302" hidden="1" customWidth="1"/>
    <col min="15" max="15" width="0" style="302" hidden="1" customWidth="1"/>
    <col min="16" max="16" width="15.28515625" style="302" hidden="1" customWidth="1"/>
    <col min="17" max="17" width="14" style="302" hidden="1" customWidth="1"/>
    <col min="18" max="18" width="0" style="302" hidden="1" customWidth="1"/>
    <col min="19" max="19" width="15.5703125" style="302" customWidth="1"/>
    <col min="20" max="20" width="17" style="302" customWidth="1"/>
    <col min="21" max="16384" width="9.140625" style="302"/>
  </cols>
  <sheetData>
    <row r="1" spans="1:32" ht="60.75" thickBot="1" x14ac:dyDescent="0.3">
      <c r="A1" s="359" t="e" vm="1">
        <v>#VALUE!</v>
      </c>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c r="AE1" s="360"/>
      <c r="AF1" s="360"/>
    </row>
    <row r="2" spans="1:32" ht="15.75" customHeight="1" x14ac:dyDescent="0.25">
      <c r="A2" s="361" t="s">
        <v>0</v>
      </c>
      <c r="B2" s="362"/>
      <c r="C2" s="362"/>
      <c r="D2" s="362"/>
      <c r="E2" s="362"/>
      <c r="F2" s="362"/>
      <c r="G2" s="362"/>
      <c r="H2" s="362"/>
      <c r="I2" s="362"/>
      <c r="J2" s="363"/>
      <c r="K2" s="287"/>
      <c r="L2" s="345" t="s">
        <v>1</v>
      </c>
      <c r="M2" s="345"/>
      <c r="N2" s="345"/>
      <c r="O2" s="345"/>
      <c r="P2" s="345"/>
      <c r="Q2" s="346"/>
    </row>
    <row r="3" spans="1:32" ht="21" x14ac:dyDescent="0.25">
      <c r="A3" s="364" t="s">
        <v>2</v>
      </c>
      <c r="B3" s="365"/>
      <c r="C3" s="365"/>
      <c r="D3" s="365"/>
      <c r="E3" s="365"/>
      <c r="F3" s="365"/>
      <c r="G3" s="365"/>
      <c r="H3" s="365"/>
      <c r="I3" s="365"/>
      <c r="J3" s="366"/>
      <c r="K3" s="288"/>
      <c r="L3" s="321"/>
      <c r="M3" s="321"/>
      <c r="N3" s="321"/>
      <c r="O3" s="321"/>
      <c r="P3" s="321"/>
      <c r="Q3" s="347"/>
      <c r="S3" s="289" t="s">
        <v>253</v>
      </c>
      <c r="T3" s="290"/>
      <c r="U3" s="290"/>
      <c r="V3" s="290"/>
      <c r="W3" s="290"/>
      <c r="X3" s="291"/>
      <c r="Y3" s="292"/>
      <c r="Z3" s="292"/>
      <c r="AA3" s="292"/>
      <c r="AB3" s="292"/>
      <c r="AC3" s="292"/>
      <c r="AD3" s="292"/>
      <c r="AE3" s="292"/>
      <c r="AF3" s="293"/>
    </row>
    <row r="4" spans="1:32" ht="20.25" thickBot="1" x14ac:dyDescent="0.3">
      <c r="A4" s="294" t="s">
        <v>3</v>
      </c>
      <c r="B4" s="122"/>
      <c r="C4" s="122"/>
      <c r="D4" s="333" t="s">
        <v>277</v>
      </c>
      <c r="E4" s="334"/>
      <c r="F4" s="334"/>
      <c r="G4" s="122"/>
      <c r="H4" s="137"/>
      <c r="I4" s="122"/>
      <c r="J4" s="295"/>
      <c r="K4" s="296"/>
      <c r="L4" s="348"/>
      <c r="M4" s="321"/>
      <c r="N4" s="321"/>
      <c r="O4" s="321"/>
      <c r="P4" s="321"/>
      <c r="Q4" s="347"/>
      <c r="S4" s="130"/>
      <c r="T4" s="131"/>
      <c r="U4" s="131"/>
      <c r="V4" s="131"/>
      <c r="W4" s="131"/>
      <c r="X4" s="160"/>
      <c r="Y4" s="133"/>
      <c r="Z4" s="133"/>
      <c r="AA4" s="133"/>
      <c r="AB4" s="133"/>
      <c r="AC4" s="133"/>
      <c r="AD4" s="133"/>
      <c r="AE4" s="133"/>
      <c r="AF4" s="135"/>
    </row>
    <row r="5" spans="1:32" ht="20.25" thickBot="1" x14ac:dyDescent="0.3">
      <c r="A5" s="238"/>
      <c r="B5" s="277"/>
      <c r="C5" s="277"/>
      <c r="D5" s="277"/>
      <c r="E5" s="137"/>
      <c r="F5" s="297" t="s">
        <v>4</v>
      </c>
      <c r="G5" s="277"/>
      <c r="H5" s="297" t="s">
        <v>5</v>
      </c>
      <c r="I5" s="277"/>
      <c r="J5" s="285"/>
      <c r="K5" s="259"/>
      <c r="L5" s="348"/>
      <c r="M5" s="321"/>
      <c r="N5" s="321"/>
      <c r="O5" s="321"/>
      <c r="P5" s="321"/>
      <c r="Q5" s="347"/>
      <c r="S5" s="130"/>
      <c r="T5" s="131"/>
      <c r="U5" s="131"/>
      <c r="V5" s="131"/>
      <c r="W5" s="131"/>
      <c r="X5" s="160"/>
      <c r="Y5" s="133"/>
      <c r="Z5" s="133"/>
      <c r="AA5" s="133"/>
      <c r="AB5" s="133"/>
      <c r="AC5" s="133"/>
      <c r="AD5" s="133"/>
      <c r="AE5" s="133"/>
      <c r="AF5" s="135"/>
    </row>
    <row r="6" spans="1:32" ht="20.25" thickBot="1" x14ac:dyDescent="0.3">
      <c r="A6" s="373" t="s">
        <v>6</v>
      </c>
      <c r="B6" s="374"/>
      <c r="C6" s="374"/>
      <c r="D6" s="263"/>
      <c r="E6" s="137"/>
      <c r="F6" s="115">
        <v>300</v>
      </c>
      <c r="G6" s="121" t="s">
        <v>7</v>
      </c>
      <c r="H6" s="284"/>
      <c r="I6" s="121" t="s">
        <v>7</v>
      </c>
      <c r="J6" s="285"/>
      <c r="K6" s="286" t="s">
        <v>230</v>
      </c>
      <c r="L6" s="349"/>
      <c r="M6" s="350"/>
      <c r="N6" s="350"/>
      <c r="O6" s="350"/>
      <c r="P6" s="350"/>
      <c r="Q6" s="351"/>
      <c r="S6" s="130" t="s">
        <v>254</v>
      </c>
      <c r="T6" s="131"/>
      <c r="U6" s="131"/>
      <c r="V6" s="131"/>
      <c r="W6" s="131"/>
      <c r="X6" s="160"/>
      <c r="Y6" s="133"/>
      <c r="Z6" s="133"/>
      <c r="AA6" s="133"/>
      <c r="AB6" s="133"/>
      <c r="AC6" s="133"/>
      <c r="AD6" s="133"/>
      <c r="AE6" s="133"/>
      <c r="AF6" s="135"/>
    </row>
    <row r="7" spans="1:32" ht="21.75" thickBot="1" x14ac:dyDescent="0.3">
      <c r="A7" s="373" t="s">
        <v>8</v>
      </c>
      <c r="B7" s="374"/>
      <c r="C7" s="374"/>
      <c r="D7" s="375"/>
      <c r="E7" s="375"/>
      <c r="F7" s="115">
        <v>150</v>
      </c>
      <c r="G7" s="121" t="s">
        <v>7</v>
      </c>
      <c r="H7" s="284"/>
      <c r="I7" s="121" t="s">
        <v>7</v>
      </c>
      <c r="J7" s="285"/>
      <c r="K7" s="286" t="s">
        <v>230</v>
      </c>
      <c r="L7" s="352" t="s">
        <v>9</v>
      </c>
      <c r="M7" s="353"/>
      <c r="N7" s="353"/>
      <c r="O7" s="353"/>
      <c r="P7" s="353"/>
      <c r="Q7" s="354"/>
      <c r="S7" s="130" t="s">
        <v>255</v>
      </c>
      <c r="T7" s="269"/>
      <c r="U7" s="269"/>
      <c r="V7" s="269"/>
      <c r="W7" s="269"/>
      <c r="X7" s="270"/>
      <c r="Y7" s="133"/>
      <c r="Z7" s="133"/>
      <c r="AA7" s="133"/>
      <c r="AB7" s="133"/>
      <c r="AC7" s="133"/>
      <c r="AD7" s="133"/>
      <c r="AE7" s="133"/>
      <c r="AF7" s="135"/>
    </row>
    <row r="8" spans="1:32" ht="20.25" hidden="1" thickBot="1" x14ac:dyDescent="0.35">
      <c r="A8" s="238" t="s">
        <v>10</v>
      </c>
      <c r="B8" s="277"/>
      <c r="C8" s="277"/>
      <c r="D8" s="197"/>
      <c r="E8" s="137"/>
      <c r="F8" s="278">
        <f>F6+F7</f>
        <v>450</v>
      </c>
      <c r="G8" s="121" t="s">
        <v>7</v>
      </c>
      <c r="H8" s="278">
        <f>H6+H7</f>
        <v>0</v>
      </c>
      <c r="I8" s="121" t="s">
        <v>7</v>
      </c>
      <c r="J8" s="144"/>
      <c r="K8" s="121"/>
      <c r="L8" s="319" t="s">
        <v>11</v>
      </c>
      <c r="M8" s="355" t="s">
        <v>12</v>
      </c>
      <c r="N8" s="355"/>
      <c r="O8" s="355"/>
      <c r="P8" s="355"/>
      <c r="Q8" s="356"/>
      <c r="S8" s="265"/>
      <c r="T8" s="279"/>
      <c r="U8" s="279"/>
      <c r="V8" s="279"/>
      <c r="W8" s="279"/>
      <c r="X8" s="280"/>
      <c r="Y8" s="133"/>
      <c r="Z8" s="133"/>
      <c r="AA8" s="133"/>
      <c r="AB8" s="133"/>
      <c r="AC8" s="133"/>
      <c r="AD8" s="133"/>
      <c r="AE8" s="133"/>
      <c r="AF8" s="135"/>
    </row>
    <row r="9" spans="1:32" ht="20.25" hidden="1" thickBot="1" x14ac:dyDescent="0.3">
      <c r="A9" s="136" t="s">
        <v>13</v>
      </c>
      <c r="B9" s="137"/>
      <c r="C9" s="137"/>
      <c r="D9" s="197"/>
      <c r="E9" s="281"/>
      <c r="F9" s="282">
        <f>F10-F8</f>
        <v>-50</v>
      </c>
      <c r="G9" s="121"/>
      <c r="H9" s="283">
        <f>F10-H8</f>
        <v>400</v>
      </c>
      <c r="I9" s="121" t="s">
        <v>7</v>
      </c>
      <c r="J9" s="144"/>
      <c r="K9" s="121"/>
      <c r="L9" s="319" t="s">
        <v>14</v>
      </c>
      <c r="M9" s="357" t="s">
        <v>15</v>
      </c>
      <c r="N9" s="357"/>
      <c r="O9" s="357"/>
      <c r="P9" s="357"/>
      <c r="Q9" s="358"/>
      <c r="S9" s="265"/>
      <c r="T9" s="131"/>
      <c r="U9" s="131"/>
      <c r="V9" s="131"/>
      <c r="W9" s="131"/>
      <c r="X9" s="160"/>
      <c r="Y9" s="133"/>
      <c r="Z9" s="133"/>
      <c r="AA9" s="133"/>
      <c r="AB9" s="133"/>
      <c r="AC9" s="133"/>
      <c r="AD9" s="133"/>
      <c r="AE9" s="133"/>
      <c r="AF9" s="135"/>
    </row>
    <row r="10" spans="1:32" ht="20.25" thickBot="1" x14ac:dyDescent="0.3">
      <c r="A10" s="136" t="s">
        <v>16</v>
      </c>
      <c r="B10" s="137"/>
      <c r="C10" s="137"/>
      <c r="D10" s="263"/>
      <c r="E10" s="137"/>
      <c r="F10" s="116">
        <v>400</v>
      </c>
      <c r="G10" s="121" t="s">
        <v>7</v>
      </c>
      <c r="H10" s="121"/>
      <c r="I10" s="121"/>
      <c r="J10" s="144"/>
      <c r="K10" s="121" t="s">
        <v>230</v>
      </c>
      <c r="L10" s="319" t="s">
        <v>17</v>
      </c>
      <c r="M10" s="357" t="s">
        <v>18</v>
      </c>
      <c r="N10" s="357"/>
      <c r="O10" s="357"/>
      <c r="P10" s="357"/>
      <c r="Q10" s="358"/>
      <c r="S10" s="130" t="s">
        <v>256</v>
      </c>
      <c r="T10" s="131"/>
      <c r="U10" s="131"/>
      <c r="V10" s="131"/>
      <c r="W10" s="131"/>
      <c r="X10" s="160"/>
      <c r="Y10" s="133"/>
      <c r="Z10" s="133"/>
      <c r="AA10" s="133"/>
      <c r="AB10" s="133"/>
      <c r="AC10" s="133"/>
      <c r="AD10" s="133"/>
      <c r="AE10" s="133"/>
      <c r="AF10" s="135"/>
    </row>
    <row r="11" spans="1:32" ht="20.25" hidden="1" thickBot="1" x14ac:dyDescent="0.3">
      <c r="A11" s="136"/>
      <c r="B11" s="137"/>
      <c r="C11" s="137"/>
      <c r="D11" s="263"/>
      <c r="E11" s="137"/>
      <c r="F11" s="264"/>
      <c r="G11" s="121"/>
      <c r="H11" s="121"/>
      <c r="I11" s="121"/>
      <c r="J11" s="144"/>
      <c r="K11" s="121"/>
      <c r="L11" s="319" t="s">
        <v>19</v>
      </c>
      <c r="M11" s="357"/>
      <c r="N11" s="357"/>
      <c r="O11" s="357"/>
      <c r="P11" s="357"/>
      <c r="Q11" s="358"/>
      <c r="S11" s="265"/>
      <c r="T11" s="131"/>
      <c r="U11" s="131"/>
      <c r="V11" s="131"/>
      <c r="W11" s="131"/>
      <c r="X11" s="160"/>
      <c r="Y11" s="133"/>
      <c r="Z11" s="133"/>
      <c r="AA11" s="133"/>
      <c r="AB11" s="133"/>
      <c r="AC11" s="133"/>
      <c r="AD11" s="133"/>
      <c r="AE11" s="133"/>
      <c r="AF11" s="135"/>
    </row>
    <row r="12" spans="1:32" ht="21" hidden="1" customHeight="1" thickBot="1" x14ac:dyDescent="0.3">
      <c r="A12" s="266" t="s">
        <v>20</v>
      </c>
      <c r="B12" s="137"/>
      <c r="C12" s="137"/>
      <c r="D12" s="263"/>
      <c r="E12" s="137"/>
      <c r="F12" s="267" t="s">
        <v>21</v>
      </c>
      <c r="G12" s="121"/>
      <c r="H12" s="121"/>
      <c r="I12" s="121"/>
      <c r="J12" s="144"/>
      <c r="K12" s="121"/>
      <c r="L12" s="320" t="s">
        <v>22</v>
      </c>
      <c r="M12" s="391"/>
      <c r="N12" s="391"/>
      <c r="O12" s="391"/>
      <c r="P12" s="391"/>
      <c r="Q12" s="392"/>
      <c r="S12" s="130" t="s">
        <v>257</v>
      </c>
      <c r="T12" s="131"/>
      <c r="U12" s="131"/>
      <c r="V12" s="131"/>
      <c r="W12" s="131"/>
      <c r="X12" s="160"/>
      <c r="Y12" s="133"/>
      <c r="Z12" s="133"/>
      <c r="AA12" s="133"/>
      <c r="AB12" s="133"/>
      <c r="AC12" s="133"/>
      <c r="AD12" s="133"/>
      <c r="AE12" s="133"/>
      <c r="AF12" s="135"/>
    </row>
    <row r="13" spans="1:32" ht="21" hidden="1" customHeight="1" thickBot="1" x14ac:dyDescent="0.3">
      <c r="A13" s="266" t="s">
        <v>23</v>
      </c>
      <c r="B13" s="137"/>
      <c r="C13" s="137"/>
      <c r="D13" s="263"/>
      <c r="E13" s="137"/>
      <c r="F13" s="267" t="s">
        <v>178</v>
      </c>
      <c r="G13" s="121"/>
      <c r="H13" s="121"/>
      <c r="I13" s="121"/>
      <c r="J13" s="144"/>
      <c r="K13" s="129"/>
      <c r="L13" s="352" t="s">
        <v>24</v>
      </c>
      <c r="M13" s="353"/>
      <c r="N13" s="353"/>
      <c r="O13" s="353"/>
      <c r="P13" s="353"/>
      <c r="Q13" s="354"/>
      <c r="S13" s="268"/>
      <c r="T13" s="269"/>
      <c r="U13" s="269"/>
      <c r="V13" s="269"/>
      <c r="W13" s="269"/>
      <c r="X13" s="270"/>
      <c r="Y13" s="133"/>
      <c r="Z13" s="133"/>
      <c r="AA13" s="133"/>
      <c r="AB13" s="133"/>
      <c r="AC13" s="133"/>
      <c r="AD13" s="133"/>
      <c r="AE13" s="133"/>
      <c r="AF13" s="135"/>
    </row>
    <row r="14" spans="1:32" ht="19.5" hidden="1" x14ac:dyDescent="0.25">
      <c r="A14" s="266"/>
      <c r="B14" s="137"/>
      <c r="C14" s="137"/>
      <c r="D14" s="151"/>
      <c r="E14" s="137"/>
      <c r="F14" s="271"/>
      <c r="G14" s="121"/>
      <c r="H14" s="121"/>
      <c r="I14" s="121"/>
      <c r="J14" s="144"/>
      <c r="K14" s="121"/>
      <c r="L14" s="386" t="s">
        <v>25</v>
      </c>
      <c r="M14" s="357"/>
      <c r="N14" s="357"/>
      <c r="O14" s="357"/>
      <c r="P14" s="357"/>
      <c r="Q14" s="358"/>
      <c r="S14" s="130"/>
      <c r="T14" s="131"/>
      <c r="U14" s="131"/>
      <c r="V14" s="131"/>
      <c r="W14" s="131"/>
      <c r="X14" s="160"/>
      <c r="Y14" s="133"/>
      <c r="Z14" s="133"/>
      <c r="AA14" s="133"/>
      <c r="AB14" s="133"/>
      <c r="AC14" s="133"/>
      <c r="AD14" s="133"/>
      <c r="AE14" s="133"/>
      <c r="AF14" s="135"/>
    </row>
    <row r="15" spans="1:32" ht="19.5" x14ac:dyDescent="0.25">
      <c r="A15" s="393" t="s">
        <v>26</v>
      </c>
      <c r="B15" s="394"/>
      <c r="C15" s="394"/>
      <c r="D15" s="394"/>
      <c r="E15" s="394"/>
      <c r="F15" s="394"/>
      <c r="G15" s="272"/>
      <c r="H15" s="272"/>
      <c r="I15" s="272"/>
      <c r="J15" s="272"/>
      <c r="K15" s="273"/>
      <c r="L15" s="357" t="s">
        <v>27</v>
      </c>
      <c r="M15" s="357"/>
      <c r="N15" s="357"/>
      <c r="O15" s="357"/>
      <c r="P15" s="357"/>
      <c r="Q15" s="358"/>
      <c r="S15" s="130"/>
      <c r="T15" s="131"/>
      <c r="U15" s="131"/>
      <c r="V15" s="131"/>
      <c r="W15" s="131"/>
      <c r="X15" s="160"/>
      <c r="Y15" s="133"/>
      <c r="Z15" s="133"/>
      <c r="AA15" s="133"/>
      <c r="AB15" s="133"/>
      <c r="AC15" s="133"/>
      <c r="AD15" s="133"/>
      <c r="AE15" s="133"/>
      <c r="AF15" s="135"/>
    </row>
    <row r="16" spans="1:32" ht="15.75" customHeight="1" x14ac:dyDescent="0.25">
      <c r="A16" s="395" t="s">
        <v>28</v>
      </c>
      <c r="B16" s="396"/>
      <c r="C16" s="396"/>
      <c r="D16" s="396"/>
      <c r="E16" s="396"/>
      <c r="F16" s="396"/>
      <c r="G16" s="274"/>
      <c r="H16" s="274"/>
      <c r="I16" s="274"/>
      <c r="J16" s="274"/>
      <c r="K16" s="275"/>
      <c r="L16" s="357" t="s">
        <v>29</v>
      </c>
      <c r="M16" s="357"/>
      <c r="N16" s="357"/>
      <c r="O16" s="357"/>
      <c r="P16" s="357"/>
      <c r="Q16" s="358"/>
      <c r="S16" s="130"/>
      <c r="T16" s="131"/>
      <c r="U16" s="131"/>
      <c r="V16" s="131"/>
      <c r="W16" s="131"/>
      <c r="X16" s="160"/>
      <c r="Y16" s="133"/>
      <c r="Z16" s="133"/>
      <c r="AA16" s="133"/>
      <c r="AB16" s="133"/>
      <c r="AC16" s="133"/>
      <c r="AD16" s="133"/>
      <c r="AE16" s="133"/>
      <c r="AF16" s="135"/>
    </row>
    <row r="17" spans="1:32" ht="19.5" customHeight="1" x14ac:dyDescent="0.25">
      <c r="A17" s="370" t="s">
        <v>30</v>
      </c>
      <c r="B17" s="371"/>
      <c r="C17" s="371"/>
      <c r="D17" s="371"/>
      <c r="E17" s="371"/>
      <c r="F17" s="371"/>
      <c r="G17" s="371"/>
      <c r="H17" s="371"/>
      <c r="I17" s="371"/>
      <c r="J17" s="372"/>
      <c r="K17" s="276"/>
      <c r="L17" s="397" t="s">
        <v>31</v>
      </c>
      <c r="M17" s="397"/>
      <c r="N17" s="397"/>
      <c r="O17" s="397"/>
      <c r="P17" s="397"/>
      <c r="Q17" s="398"/>
      <c r="S17" s="268"/>
      <c r="T17" s="269"/>
      <c r="U17" s="269"/>
      <c r="V17" s="269"/>
      <c r="W17" s="269"/>
      <c r="X17" s="270"/>
      <c r="Y17" s="133"/>
      <c r="Z17" s="133"/>
      <c r="AA17" s="133"/>
      <c r="AB17" s="133"/>
      <c r="AC17" s="133"/>
      <c r="AD17" s="133"/>
      <c r="AE17" s="133"/>
      <c r="AF17" s="135"/>
    </row>
    <row r="18" spans="1:32" ht="20.25" thickBot="1" x14ac:dyDescent="0.3">
      <c r="A18" s="200"/>
      <c r="B18" s="122"/>
      <c r="C18" s="122"/>
      <c r="D18" s="122"/>
      <c r="E18" s="122"/>
      <c r="F18" s="122"/>
      <c r="G18" s="122"/>
      <c r="H18" s="122"/>
      <c r="I18" s="122"/>
      <c r="J18" s="144"/>
      <c r="K18" s="121"/>
      <c r="L18" s="399"/>
      <c r="M18" s="400"/>
      <c r="N18" s="400"/>
      <c r="O18" s="400"/>
      <c r="P18" s="400"/>
      <c r="Q18" s="401"/>
      <c r="S18" s="268"/>
      <c r="T18" s="269"/>
      <c r="U18" s="269"/>
      <c r="V18" s="269"/>
      <c r="W18" s="269"/>
      <c r="X18" s="270"/>
      <c r="Y18" s="133"/>
      <c r="Z18" s="133"/>
      <c r="AA18" s="133"/>
      <c r="AB18" s="133"/>
      <c r="AC18" s="133"/>
      <c r="AD18" s="133"/>
      <c r="AE18" s="133"/>
      <c r="AF18" s="135"/>
    </row>
    <row r="19" spans="1:32" ht="20.25" thickBot="1" x14ac:dyDescent="0.3">
      <c r="A19" s="175" t="s">
        <v>32</v>
      </c>
      <c r="B19" s="121"/>
      <c r="C19" s="121"/>
      <c r="D19" s="121"/>
      <c r="E19" s="121"/>
      <c r="F19" s="298" t="s">
        <v>172</v>
      </c>
      <c r="G19" s="121"/>
      <c r="H19" s="151" t="s">
        <v>34</v>
      </c>
      <c r="I19" s="121"/>
      <c r="J19" s="144"/>
      <c r="K19" s="121"/>
      <c r="S19" s="130" t="s">
        <v>271</v>
      </c>
      <c r="T19" s="131"/>
      <c r="U19" s="131"/>
      <c r="V19" s="131"/>
      <c r="W19" s="131"/>
      <c r="X19" s="160"/>
      <c r="Y19" s="133"/>
      <c r="Z19" s="133"/>
      <c r="AA19" s="133"/>
      <c r="AB19" s="133"/>
      <c r="AC19" s="133"/>
      <c r="AD19" s="133"/>
      <c r="AE19" s="133"/>
      <c r="AF19" s="135"/>
    </row>
    <row r="20" spans="1:32" ht="19.5" x14ac:dyDescent="0.25">
      <c r="A20" s="175" t="s">
        <v>35</v>
      </c>
      <c r="B20" s="121"/>
      <c r="C20" s="121"/>
      <c r="D20" s="121"/>
      <c r="E20" s="121"/>
      <c r="F20" s="258">
        <f>IF(F19="Sand", 0.00005, IF(F19="Sandy Clay", 0.00001, IF(F19="Medium Clay", 0.000001, IF(F19="Heavy Clay", 0.00000001, IF(F19="Custom", 'Design Parameters'!B6)))))</f>
        <v>1.0000000000000001E-5</v>
      </c>
      <c r="G20" s="202" t="s">
        <v>36</v>
      </c>
      <c r="H20" s="121"/>
      <c r="I20" s="121"/>
      <c r="J20" s="144"/>
      <c r="K20" s="121"/>
      <c r="S20" s="130" t="s">
        <v>272</v>
      </c>
      <c r="T20" s="131"/>
      <c r="U20" s="131"/>
      <c r="V20" s="131"/>
      <c r="W20" s="131"/>
      <c r="X20" s="160"/>
      <c r="Y20" s="133"/>
      <c r="Z20" s="133"/>
      <c r="AA20" s="133"/>
      <c r="AB20" s="133"/>
      <c r="AC20" s="133"/>
      <c r="AD20" s="133"/>
      <c r="AE20" s="133"/>
      <c r="AF20" s="135"/>
    </row>
    <row r="21" spans="1:32" ht="19.5" x14ac:dyDescent="0.25">
      <c r="A21" s="175" t="s">
        <v>37</v>
      </c>
      <c r="B21" s="121"/>
      <c r="C21" s="121"/>
      <c r="D21" s="121"/>
      <c r="E21" s="121"/>
      <c r="F21" s="259">
        <f>IF(F19="Sand", 0.5, IF(F19="Sandy Clay", 1, IF(F19="Medium Clay", 2, IF(F19="Heavy Clay", 2, IF(F19="Custom", 'Design Parameters'!B13)))))</f>
        <v>1</v>
      </c>
      <c r="G21" s="202"/>
      <c r="H21" s="121"/>
      <c r="I21" s="121"/>
      <c r="J21" s="144"/>
      <c r="K21" s="121"/>
      <c r="S21" s="130"/>
      <c r="T21" s="131"/>
      <c r="U21" s="131"/>
      <c r="V21" s="131"/>
      <c r="W21" s="131"/>
      <c r="X21" s="160"/>
      <c r="Y21" s="133"/>
      <c r="Z21" s="133"/>
      <c r="AA21" s="133"/>
      <c r="AB21" s="133"/>
      <c r="AC21" s="133"/>
      <c r="AD21" s="133"/>
      <c r="AE21" s="133"/>
      <c r="AF21" s="135"/>
    </row>
    <row r="22" spans="1:32" ht="19.5" x14ac:dyDescent="0.25">
      <c r="A22" s="175"/>
      <c r="B22" s="260"/>
      <c r="C22" s="121"/>
      <c r="D22" s="121"/>
      <c r="E22" s="121"/>
      <c r="F22" s="121"/>
      <c r="G22" s="121"/>
      <c r="H22" s="121"/>
      <c r="I22" s="121"/>
      <c r="J22" s="144"/>
      <c r="K22" s="121"/>
      <c r="S22" s="130"/>
      <c r="T22" s="131"/>
      <c r="U22" s="131"/>
      <c r="V22" s="131"/>
      <c r="W22" s="131"/>
      <c r="X22" s="160"/>
      <c r="Y22" s="133"/>
      <c r="Z22" s="133"/>
      <c r="AA22" s="133"/>
      <c r="AB22" s="133"/>
      <c r="AC22" s="133"/>
      <c r="AD22" s="133"/>
      <c r="AE22" s="133"/>
      <c r="AF22" s="135"/>
    </row>
    <row r="23" spans="1:32" ht="21" x14ac:dyDescent="0.25">
      <c r="A23" s="364" t="s">
        <v>38</v>
      </c>
      <c r="B23" s="365"/>
      <c r="C23" s="365"/>
      <c r="D23" s="365"/>
      <c r="E23" s="365"/>
      <c r="F23" s="365"/>
      <c r="G23" s="365"/>
      <c r="H23" s="365"/>
      <c r="I23" s="365"/>
      <c r="J23" s="366"/>
      <c r="K23" s="261"/>
      <c r="S23" s="130"/>
      <c r="T23" s="131"/>
      <c r="U23" s="131"/>
      <c r="V23" s="131"/>
      <c r="W23" s="131"/>
      <c r="X23" s="160"/>
      <c r="Y23" s="133"/>
      <c r="Z23" s="133"/>
      <c r="AA23" s="133"/>
      <c r="AB23" s="133"/>
      <c r="AC23" s="133"/>
      <c r="AD23" s="133"/>
      <c r="AE23" s="133"/>
      <c r="AF23" s="135"/>
    </row>
    <row r="24" spans="1:32" ht="20.25" thickBot="1" x14ac:dyDescent="0.3">
      <c r="A24" s="200"/>
      <c r="B24" s="122"/>
      <c r="C24" s="122"/>
      <c r="D24" s="122"/>
      <c r="E24" s="122"/>
      <c r="F24" s="122"/>
      <c r="G24" s="122"/>
      <c r="H24" s="262" t="s">
        <v>39</v>
      </c>
      <c r="I24" s="122"/>
      <c r="J24" s="198"/>
      <c r="K24" s="122"/>
      <c r="S24" s="130"/>
      <c r="T24" s="131"/>
      <c r="U24" s="131"/>
      <c r="V24" s="131"/>
      <c r="W24" s="131"/>
      <c r="X24" s="160"/>
      <c r="Y24" s="133"/>
      <c r="Z24" s="133"/>
      <c r="AA24" s="133"/>
      <c r="AB24" s="133"/>
      <c r="AC24" s="133"/>
      <c r="AD24" s="133"/>
      <c r="AE24" s="133"/>
      <c r="AF24" s="135"/>
    </row>
    <row r="25" spans="1:32" ht="19.5" x14ac:dyDescent="0.25">
      <c r="A25" s="136" t="s">
        <v>40</v>
      </c>
      <c r="B25" s="137"/>
      <c r="C25" s="122"/>
      <c r="D25" s="122"/>
      <c r="E25" s="122"/>
      <c r="F25" s="299">
        <v>20</v>
      </c>
      <c r="G25" s="137" t="s">
        <v>41</v>
      </c>
      <c r="H25" s="402" t="s">
        <v>42</v>
      </c>
      <c r="I25" s="403"/>
      <c r="J25" s="404"/>
      <c r="K25" s="237"/>
      <c r="S25" s="130" t="s">
        <v>273</v>
      </c>
      <c r="T25" s="131"/>
      <c r="U25" s="131"/>
      <c r="V25" s="131"/>
      <c r="W25" s="131"/>
      <c r="X25" s="160"/>
      <c r="Y25" s="133"/>
      <c r="Z25" s="133"/>
      <c r="AA25" s="133"/>
      <c r="AB25" s="133"/>
      <c r="AC25" s="133"/>
      <c r="AD25" s="133"/>
      <c r="AE25" s="133"/>
      <c r="AF25" s="135"/>
    </row>
    <row r="26" spans="1:32" ht="20.25" thickBot="1" x14ac:dyDescent="0.3">
      <c r="A26" s="238" t="s">
        <v>43</v>
      </c>
      <c r="B26" s="137"/>
      <c r="C26" s="151"/>
      <c r="D26" s="122"/>
      <c r="E26" s="239"/>
      <c r="F26" s="157">
        <v>60</v>
      </c>
      <c r="G26" s="137" t="s">
        <v>44</v>
      </c>
      <c r="H26" s="405"/>
      <c r="I26" s="406"/>
      <c r="J26" s="407"/>
      <c r="K26" s="237"/>
      <c r="S26" s="130" t="s">
        <v>274</v>
      </c>
      <c r="T26" s="131"/>
      <c r="U26" s="131"/>
      <c r="V26" s="131"/>
      <c r="W26" s="131"/>
      <c r="X26" s="160"/>
      <c r="Y26" s="133"/>
      <c r="Z26" s="133"/>
      <c r="AA26" s="133"/>
      <c r="AB26" s="133"/>
      <c r="AC26" s="133"/>
      <c r="AD26" s="133"/>
      <c r="AE26" s="133"/>
      <c r="AF26" s="135"/>
    </row>
    <row r="27" spans="1:32" ht="19.5" x14ac:dyDescent="0.25">
      <c r="A27" s="238" t="s">
        <v>45</v>
      </c>
      <c r="B27" s="137"/>
      <c r="C27" s="137"/>
      <c r="D27" s="137"/>
      <c r="E27" s="137"/>
      <c r="F27" s="236" cm="1">
        <f t="array" ref="F27">_xlfn.XLOOKUP(F$26,'Input-Rainfall Data'!A$11:A$39,_xlfn.XLOOKUP(F$25,'Input-Rainfall Data'!C$9:I$9,'Input-Rainfall Data'!C11:I39))</f>
        <v>32.5</v>
      </c>
      <c r="G27" s="137" t="s">
        <v>46</v>
      </c>
      <c r="H27" s="402" t="s">
        <v>47</v>
      </c>
      <c r="I27" s="408"/>
      <c r="J27" s="409"/>
      <c r="K27" s="240"/>
      <c r="S27" s="130"/>
      <c r="T27" s="131"/>
      <c r="U27" s="131"/>
      <c r="V27" s="131"/>
      <c r="W27" s="131"/>
      <c r="X27" s="160"/>
      <c r="Y27" s="133"/>
      <c r="Z27" s="133"/>
      <c r="AA27" s="133"/>
      <c r="AB27" s="133"/>
      <c r="AC27" s="133"/>
      <c r="AD27" s="133"/>
      <c r="AE27" s="133"/>
      <c r="AF27" s="135"/>
    </row>
    <row r="28" spans="1:32" ht="18.75" customHeight="1" thickBot="1" x14ac:dyDescent="0.3">
      <c r="A28" s="373" t="s">
        <v>270</v>
      </c>
      <c r="B28" s="374"/>
      <c r="C28" s="122"/>
      <c r="D28" s="122"/>
      <c r="E28" s="239"/>
      <c r="F28" s="241">
        <f>100/F25</f>
        <v>5</v>
      </c>
      <c r="G28" s="137" t="s">
        <v>249</v>
      </c>
      <c r="H28" s="410"/>
      <c r="I28" s="411"/>
      <c r="J28" s="412"/>
      <c r="K28" s="240"/>
      <c r="S28" s="130"/>
      <c r="T28" s="131"/>
      <c r="U28" s="131"/>
      <c r="V28" s="131"/>
      <c r="W28" s="131"/>
      <c r="X28" s="160"/>
      <c r="Y28" s="133"/>
      <c r="Z28" s="133"/>
      <c r="AA28" s="133"/>
      <c r="AB28" s="133"/>
      <c r="AC28" s="133"/>
      <c r="AD28" s="133"/>
      <c r="AE28" s="133"/>
      <c r="AF28" s="135"/>
    </row>
    <row r="29" spans="1:32" ht="19.5" hidden="1" x14ac:dyDescent="0.25">
      <c r="A29" s="136"/>
      <c r="B29" s="137"/>
      <c r="C29" s="122"/>
      <c r="D29" s="122"/>
      <c r="E29" s="239"/>
      <c r="F29" s="239"/>
      <c r="G29" s="137"/>
      <c r="H29" s="402" t="s">
        <v>48</v>
      </c>
      <c r="I29" s="408"/>
      <c r="J29" s="409"/>
      <c r="K29" s="240"/>
      <c r="S29" s="130"/>
      <c r="T29" s="131"/>
      <c r="U29" s="131"/>
      <c r="V29" s="131"/>
      <c r="W29" s="131"/>
      <c r="X29" s="160"/>
      <c r="Y29" s="133"/>
      <c r="Z29" s="133"/>
      <c r="AA29" s="133"/>
      <c r="AB29" s="133"/>
      <c r="AC29" s="133"/>
      <c r="AD29" s="133"/>
      <c r="AE29" s="133"/>
      <c r="AF29" s="135"/>
    </row>
    <row r="30" spans="1:32" ht="20.25" hidden="1" thickBot="1" x14ac:dyDescent="0.3">
      <c r="A30" s="136"/>
      <c r="B30" s="137"/>
      <c r="C30" s="122"/>
      <c r="D30" s="122"/>
      <c r="E30" s="239"/>
      <c r="F30" s="239"/>
      <c r="G30" s="137"/>
      <c r="H30" s="410"/>
      <c r="I30" s="411"/>
      <c r="J30" s="412"/>
      <c r="K30" s="240"/>
      <c r="S30" s="130"/>
      <c r="T30" s="131"/>
      <c r="U30" s="131"/>
      <c r="V30" s="131"/>
      <c r="W30" s="131"/>
      <c r="X30" s="160"/>
      <c r="Y30" s="133"/>
      <c r="Z30" s="133"/>
      <c r="AA30" s="133"/>
      <c r="AB30" s="133"/>
      <c r="AC30" s="133"/>
      <c r="AD30" s="133"/>
      <c r="AE30" s="133"/>
      <c r="AF30" s="135"/>
    </row>
    <row r="31" spans="1:32" ht="21" hidden="1" customHeight="1" x14ac:dyDescent="0.25">
      <c r="A31" s="242" t="s">
        <v>49</v>
      </c>
      <c r="B31" s="243"/>
      <c r="C31" s="244"/>
      <c r="D31" s="244"/>
      <c r="E31" s="244"/>
      <c r="F31" s="245"/>
      <c r="G31" s="243"/>
      <c r="H31" s="243"/>
      <c r="I31" s="243"/>
      <c r="J31" s="246"/>
      <c r="K31" s="230"/>
      <c r="M31" s="316"/>
      <c r="N31" s="317"/>
      <c r="O31" s="317"/>
      <c r="S31" s="130"/>
      <c r="T31" s="247"/>
      <c r="U31" s="248"/>
      <c r="V31" s="248"/>
      <c r="W31" s="131"/>
      <c r="X31" s="160"/>
      <c r="Y31" s="133"/>
      <c r="Z31" s="133"/>
      <c r="AA31" s="133"/>
      <c r="AB31" s="133"/>
      <c r="AC31" s="133"/>
      <c r="AD31" s="133"/>
      <c r="AE31" s="133"/>
      <c r="AF31" s="135"/>
    </row>
    <row r="32" spans="1:32" ht="19.5" hidden="1" customHeight="1" x14ac:dyDescent="0.25">
      <c r="A32" s="136" t="s">
        <v>50</v>
      </c>
      <c r="B32" s="137"/>
      <c r="C32" s="122"/>
      <c r="D32" s="122"/>
      <c r="E32" s="192" t="s">
        <v>51</v>
      </c>
      <c r="F32" s="249">
        <v>1</v>
      </c>
      <c r="G32" s="137"/>
      <c r="H32" s="151"/>
      <c r="I32" s="122"/>
      <c r="J32" s="144"/>
      <c r="K32" s="129"/>
      <c r="M32" s="317"/>
      <c r="N32" s="317"/>
      <c r="O32" s="317"/>
      <c r="S32" s="130"/>
      <c r="T32" s="248"/>
      <c r="U32" s="248"/>
      <c r="V32" s="248"/>
      <c r="W32" s="131"/>
      <c r="X32" s="160"/>
      <c r="Y32" s="133"/>
      <c r="Z32" s="133"/>
      <c r="AA32" s="133"/>
      <c r="AB32" s="133"/>
      <c r="AC32" s="133"/>
      <c r="AD32" s="133"/>
      <c r="AE32" s="133"/>
      <c r="AF32" s="135"/>
    </row>
    <row r="33" spans="1:55" ht="19.5" hidden="1" customHeight="1" x14ac:dyDescent="0.25">
      <c r="A33" s="201" t="s">
        <v>52</v>
      </c>
      <c r="B33" s="137"/>
      <c r="C33" s="122"/>
      <c r="D33" s="122"/>
      <c r="E33" s="192" t="s">
        <v>51</v>
      </c>
      <c r="F33" s="249">
        <v>0.9</v>
      </c>
      <c r="G33" s="137"/>
      <c r="H33" s="151"/>
      <c r="I33" s="122"/>
      <c r="J33" s="144"/>
      <c r="K33" s="129"/>
      <c r="M33" s="317"/>
      <c r="N33" s="317"/>
      <c r="O33" s="317"/>
      <c r="S33" s="130"/>
      <c r="T33" s="248"/>
      <c r="U33" s="248"/>
      <c r="V33" s="248"/>
      <c r="W33" s="131"/>
      <c r="X33" s="160"/>
      <c r="Y33" s="133"/>
      <c r="Z33" s="133"/>
      <c r="AA33" s="133"/>
      <c r="AB33" s="133"/>
      <c r="AC33" s="133"/>
      <c r="AD33" s="133"/>
      <c r="AE33" s="133"/>
      <c r="AF33" s="135"/>
    </row>
    <row r="34" spans="1:55" ht="19.5" hidden="1" customHeight="1" x14ac:dyDescent="0.25">
      <c r="A34" s="201" t="s">
        <v>53</v>
      </c>
      <c r="B34" s="137"/>
      <c r="C34" s="122"/>
      <c r="D34" s="122"/>
      <c r="E34" s="192" t="s">
        <v>54</v>
      </c>
      <c r="F34" s="250">
        <f>MAX(IF('Input-Rainfall Data'!F$22 &lt; 25, 25, IF('Input-Rainfall Data'!F$22 &gt; 70, 70, 'Input-Rainfall Data'!F$22))*0.0133 - 0.233 - IF(F$19="SAND", 0.1, -0.1), 0.1)</f>
        <v>0.24339</v>
      </c>
      <c r="G34" s="137"/>
      <c r="H34" s="151" t="s">
        <v>55</v>
      </c>
      <c r="I34" s="122"/>
      <c r="J34" s="144"/>
      <c r="K34" s="129"/>
      <c r="M34" s="317"/>
      <c r="N34" s="317"/>
      <c r="O34" s="317"/>
      <c r="S34" s="130"/>
      <c r="T34" s="248"/>
      <c r="U34" s="248"/>
      <c r="V34" s="248"/>
      <c r="W34" s="131"/>
      <c r="X34" s="160"/>
      <c r="Y34" s="133"/>
      <c r="Z34" s="133"/>
      <c r="AA34" s="133"/>
      <c r="AB34" s="133"/>
      <c r="AC34" s="133"/>
      <c r="AD34" s="133"/>
      <c r="AE34" s="133"/>
      <c r="AF34" s="135"/>
    </row>
    <row r="35" spans="1:55" ht="21" hidden="1" customHeight="1" x14ac:dyDescent="0.25">
      <c r="A35" s="342" t="s">
        <v>56</v>
      </c>
      <c r="B35" s="343"/>
      <c r="C35" s="343"/>
      <c r="D35" s="343"/>
      <c r="E35" s="343"/>
      <c r="F35" s="343"/>
      <c r="G35" s="343"/>
      <c r="H35" s="343"/>
      <c r="I35" s="343"/>
      <c r="J35" s="344"/>
      <c r="K35" s="223"/>
      <c r="M35" s="317"/>
      <c r="N35" s="317"/>
      <c r="O35" s="317"/>
      <c r="S35" s="130"/>
      <c r="T35" s="248"/>
      <c r="U35" s="248"/>
      <c r="V35" s="248"/>
      <c r="W35" s="131"/>
      <c r="X35" s="160"/>
      <c r="Y35" s="133"/>
      <c r="Z35" s="133"/>
      <c r="AA35" s="133"/>
      <c r="AB35" s="133"/>
      <c r="AC35" s="133"/>
      <c r="AD35" s="133"/>
      <c r="AE35" s="133"/>
      <c r="AF35" s="135"/>
    </row>
    <row r="36" spans="1:55" ht="19.5" hidden="1" customHeight="1" x14ac:dyDescent="0.25">
      <c r="A36" s="136"/>
      <c r="B36" s="137"/>
      <c r="C36" s="122"/>
      <c r="D36" s="122"/>
      <c r="E36" s="122"/>
      <c r="F36" s="138"/>
      <c r="G36" s="137"/>
      <c r="H36" s="151"/>
      <c r="I36" s="122"/>
      <c r="J36" s="144"/>
      <c r="K36" s="129"/>
      <c r="S36" s="130"/>
      <c r="T36" s="131"/>
      <c r="U36" s="131"/>
      <c r="V36" s="131"/>
      <c r="W36" s="131"/>
      <c r="X36" s="160"/>
      <c r="Y36" s="133"/>
      <c r="Z36" s="133"/>
      <c r="AA36" s="133"/>
      <c r="AB36" s="133"/>
      <c r="AC36" s="133"/>
      <c r="AD36" s="133"/>
      <c r="AE36" s="133"/>
      <c r="AF36" s="135"/>
    </row>
    <row r="37" spans="1:55" ht="19.5" hidden="1" customHeight="1" x14ac:dyDescent="0.25">
      <c r="A37" s="175" t="s">
        <v>57</v>
      </c>
      <c r="B37" s="121"/>
      <c r="C37" s="122"/>
      <c r="D37" s="122"/>
      <c r="E37" s="122"/>
      <c r="F37" s="251">
        <f>F$26</f>
        <v>60</v>
      </c>
      <c r="G37" s="121" t="s">
        <v>44</v>
      </c>
      <c r="H37" s="122"/>
      <c r="I37" s="122"/>
      <c r="J37" s="144"/>
      <c r="K37" s="129"/>
      <c r="S37" s="130"/>
      <c r="T37" s="131"/>
      <c r="U37" s="131"/>
      <c r="V37" s="131"/>
      <c r="W37" s="131"/>
      <c r="X37" s="160"/>
      <c r="Y37" s="133"/>
      <c r="Z37" s="133"/>
      <c r="AA37" s="133"/>
      <c r="AB37" s="133"/>
      <c r="AC37" s="133"/>
      <c r="AD37" s="133"/>
      <c r="AE37" s="133"/>
      <c r="AF37" s="135"/>
    </row>
    <row r="38" spans="1:55" ht="19.5" hidden="1" customHeight="1" x14ac:dyDescent="0.25">
      <c r="A38" s="201" t="s">
        <v>58</v>
      </c>
      <c r="B38" s="202"/>
      <c r="C38" s="122"/>
      <c r="D38" s="122"/>
      <c r="E38" s="122"/>
      <c r="F38" s="252">
        <f>F$37*60</f>
        <v>3600</v>
      </c>
      <c r="G38" s="121" t="s">
        <v>59</v>
      </c>
      <c r="H38" s="151"/>
      <c r="I38" s="122"/>
      <c r="J38" s="144"/>
      <c r="K38" s="129"/>
      <c r="S38" s="130"/>
      <c r="T38" s="131"/>
      <c r="U38" s="131"/>
      <c r="V38" s="131"/>
      <c r="W38" s="131"/>
      <c r="X38" s="160"/>
      <c r="Y38" s="133"/>
      <c r="Z38" s="133"/>
      <c r="AA38" s="133"/>
      <c r="AB38" s="133"/>
      <c r="AC38" s="133"/>
      <c r="AD38" s="133"/>
      <c r="AE38" s="133"/>
      <c r="AF38" s="135"/>
    </row>
    <row r="39" spans="1:55" ht="19.5" hidden="1" customHeight="1" x14ac:dyDescent="0.25">
      <c r="A39" s="253" t="s">
        <v>60</v>
      </c>
      <c r="B39" s="254"/>
      <c r="C39" s="122"/>
      <c r="D39" s="122"/>
      <c r="E39" s="122"/>
      <c r="F39" s="255">
        <f>F$27</f>
        <v>32.5</v>
      </c>
      <c r="G39" s="121" t="s">
        <v>46</v>
      </c>
      <c r="H39" s="151"/>
      <c r="I39" s="122"/>
      <c r="J39" s="144"/>
      <c r="K39" s="129"/>
      <c r="S39" s="130"/>
      <c r="T39" s="131"/>
      <c r="U39" s="131"/>
      <c r="V39" s="131"/>
      <c r="W39" s="131"/>
      <c r="X39" s="160"/>
      <c r="Y39" s="133"/>
      <c r="Z39" s="133"/>
      <c r="AA39" s="133"/>
      <c r="AB39" s="133"/>
      <c r="AC39" s="133"/>
      <c r="AD39" s="133"/>
      <c r="AE39" s="133"/>
      <c r="AF39" s="135"/>
    </row>
    <row r="40" spans="1:55" ht="19.5" hidden="1" customHeight="1" x14ac:dyDescent="0.25">
      <c r="A40" s="201" t="s">
        <v>61</v>
      </c>
      <c r="B40" s="202"/>
      <c r="C40" s="122"/>
      <c r="D40" s="122"/>
      <c r="E40" s="122"/>
      <c r="F40" s="255">
        <f>(('Design calculator'!F$6*'Design calculator'!F$32)+('Design calculator'!F$7*'Design calculator'!F$33)+('Design calculator'!F$9*'Design calculator'!F$34))*F$39/3600</f>
        <v>3.817219791666667</v>
      </c>
      <c r="G40" s="121" t="s">
        <v>62</v>
      </c>
      <c r="H40" s="151"/>
      <c r="I40" s="122"/>
      <c r="J40" s="144"/>
      <c r="K40" s="129"/>
      <c r="S40" s="130"/>
      <c r="T40" s="131"/>
      <c r="U40" s="131"/>
      <c r="V40" s="131"/>
      <c r="W40" s="131"/>
      <c r="X40" s="160"/>
      <c r="Y40" s="133"/>
      <c r="Z40" s="133"/>
      <c r="AA40" s="133"/>
      <c r="AB40" s="133"/>
      <c r="AC40" s="133"/>
      <c r="AD40" s="133"/>
      <c r="AE40" s="133"/>
      <c r="AF40" s="135"/>
    </row>
    <row r="41" spans="1:55" ht="19.5" hidden="1" customHeight="1" x14ac:dyDescent="0.25">
      <c r="A41" s="201" t="s">
        <v>63</v>
      </c>
      <c r="B41" s="202"/>
      <c r="C41" s="122"/>
      <c r="D41" s="122"/>
      <c r="E41" s="122"/>
      <c r="F41" s="256">
        <f>F$40*F$38/1000</f>
        <v>13.741991250000002</v>
      </c>
      <c r="G41" s="121" t="s">
        <v>64</v>
      </c>
      <c r="H41" s="151"/>
      <c r="I41" s="122"/>
      <c r="J41" s="144"/>
      <c r="K41" s="129"/>
      <c r="S41" s="130"/>
      <c r="T41" s="131"/>
      <c r="U41" s="131"/>
      <c r="V41" s="131"/>
      <c r="W41" s="131"/>
      <c r="X41" s="160"/>
      <c r="Y41" s="133"/>
      <c r="Z41" s="133"/>
      <c r="AA41" s="133"/>
      <c r="AB41" s="133"/>
      <c r="AC41" s="133"/>
      <c r="AD41" s="133"/>
      <c r="AE41" s="133"/>
      <c r="AF41" s="135"/>
    </row>
    <row r="42" spans="1:55" ht="19.5" hidden="1" customHeight="1" x14ac:dyDescent="0.25">
      <c r="A42" s="136"/>
      <c r="B42" s="137"/>
      <c r="C42" s="122"/>
      <c r="D42" s="122"/>
      <c r="E42" s="122"/>
      <c r="F42" s="138"/>
      <c r="G42" s="137"/>
      <c r="H42" s="151"/>
      <c r="I42" s="122"/>
      <c r="J42" s="144"/>
      <c r="K42" s="129"/>
      <c r="S42" s="130"/>
      <c r="T42" s="131"/>
      <c r="U42" s="131"/>
      <c r="V42" s="131"/>
      <c r="W42" s="131"/>
      <c r="X42" s="160"/>
      <c r="Y42" s="133"/>
      <c r="Z42" s="133"/>
      <c r="AA42" s="133"/>
      <c r="AB42" s="133"/>
      <c r="AC42" s="133"/>
      <c r="AD42" s="133"/>
      <c r="AE42" s="133"/>
      <c r="AF42" s="135"/>
    </row>
    <row r="43" spans="1:55" ht="21" x14ac:dyDescent="0.25">
      <c r="A43" s="367" t="s">
        <v>65</v>
      </c>
      <c r="B43" s="381"/>
      <c r="C43" s="381"/>
      <c r="D43" s="381"/>
      <c r="E43" s="381"/>
      <c r="F43" s="381"/>
      <c r="G43" s="381"/>
      <c r="H43" s="381"/>
      <c r="I43" s="381"/>
      <c r="J43" s="382"/>
      <c r="K43" s="199"/>
      <c r="S43" s="130"/>
      <c r="T43" s="131"/>
      <c r="U43" s="131"/>
      <c r="V43" s="131"/>
      <c r="W43" s="131"/>
      <c r="X43" s="160"/>
      <c r="Y43" s="133"/>
      <c r="Z43" s="133"/>
      <c r="AA43" s="133"/>
      <c r="AB43" s="133"/>
      <c r="AC43" s="133"/>
      <c r="AD43" s="133"/>
      <c r="AE43" s="133"/>
      <c r="AF43" s="135"/>
    </row>
    <row r="44" spans="1:55" ht="19.5" x14ac:dyDescent="0.25">
      <c r="A44" s="136"/>
      <c r="B44" s="257" t="s">
        <v>66</v>
      </c>
      <c r="C44" s="121"/>
      <c r="D44" s="121"/>
      <c r="E44" s="121"/>
      <c r="F44" s="121"/>
      <c r="G44" s="121"/>
      <c r="H44" s="121"/>
      <c r="I44" s="121"/>
      <c r="J44" s="144"/>
      <c r="K44" s="121"/>
      <c r="M44" s="318"/>
      <c r="S44" s="130"/>
      <c r="T44" s="114"/>
      <c r="U44" s="131"/>
      <c r="V44" s="131"/>
      <c r="W44" s="131"/>
      <c r="X44" s="160"/>
      <c r="Y44" s="133"/>
      <c r="Z44" s="133"/>
      <c r="AA44" s="133"/>
      <c r="AB44" s="133"/>
      <c r="AC44" s="133"/>
      <c r="AD44" s="133"/>
      <c r="AE44" s="133"/>
      <c r="AF44" s="135"/>
      <c r="AU44" s="315"/>
      <c r="AY44" s="315"/>
      <c r="BB44" s="315"/>
    </row>
    <row r="45" spans="1:55" ht="19.5" x14ac:dyDescent="0.25">
      <c r="A45" s="136"/>
      <c r="B45" s="121"/>
      <c r="C45" s="385" t="s">
        <v>67</v>
      </c>
      <c r="D45" s="323" t="s">
        <v>68</v>
      </c>
      <c r="E45" s="323" t="s">
        <v>69</v>
      </c>
      <c r="F45" s="323" t="s">
        <v>70</v>
      </c>
      <c r="G45" s="323" t="s">
        <v>71</v>
      </c>
      <c r="H45" s="323" t="s">
        <v>72</v>
      </c>
      <c r="I45" s="323" t="s">
        <v>73</v>
      </c>
      <c r="J45" s="413" t="s">
        <v>74</v>
      </c>
      <c r="K45" s="192"/>
      <c r="S45" s="130"/>
      <c r="T45" s="131"/>
      <c r="U45" s="131"/>
      <c r="V45" s="131"/>
      <c r="W45" s="131"/>
      <c r="X45" s="160"/>
      <c r="Y45" s="133"/>
      <c r="Z45" s="133"/>
      <c r="AA45" s="133"/>
      <c r="AB45" s="133"/>
      <c r="AC45" s="133"/>
      <c r="AD45" s="133"/>
      <c r="AE45" s="133"/>
      <c r="AF45" s="135"/>
      <c r="AU45" s="335"/>
      <c r="AV45" s="335"/>
      <c r="AW45" s="321"/>
      <c r="AX45" s="322"/>
      <c r="AY45" s="321"/>
      <c r="AZ45" s="321"/>
      <c r="BA45" s="322"/>
      <c r="BB45" s="321"/>
      <c r="BC45" s="321"/>
    </row>
    <row r="46" spans="1:55" ht="19.5" x14ac:dyDescent="0.25">
      <c r="A46" s="136"/>
      <c r="B46" s="121"/>
      <c r="C46" s="385"/>
      <c r="D46" s="323"/>
      <c r="E46" s="323"/>
      <c r="F46" s="323"/>
      <c r="G46" s="323"/>
      <c r="H46" s="323"/>
      <c r="I46" s="323"/>
      <c r="J46" s="413"/>
      <c r="K46" s="192"/>
      <c r="S46" s="130" t="s">
        <v>258</v>
      </c>
      <c r="T46" s="131"/>
      <c r="U46" s="131"/>
      <c r="V46" s="131"/>
      <c r="W46" s="131"/>
      <c r="X46" s="160"/>
      <c r="Y46" s="133"/>
      <c r="Z46" s="133"/>
      <c r="AA46" s="133"/>
      <c r="AB46" s="133"/>
      <c r="AC46" s="133"/>
      <c r="AD46" s="133"/>
      <c r="AE46" s="133"/>
      <c r="AF46" s="135"/>
      <c r="AU46" s="335"/>
      <c r="AV46" s="335"/>
      <c r="AW46" s="321"/>
      <c r="AX46" s="322"/>
      <c r="AY46" s="321"/>
      <c r="AZ46" s="321"/>
      <c r="BA46" s="322"/>
      <c r="BB46" s="322"/>
      <c r="BC46" s="321"/>
    </row>
    <row r="47" spans="1:55" ht="19.5" x14ac:dyDescent="0.25">
      <c r="A47" s="156" t="s">
        <v>75</v>
      </c>
      <c r="B47" s="121"/>
      <c r="C47" s="117" t="s">
        <v>78</v>
      </c>
      <c r="D47" s="118">
        <v>1.05</v>
      </c>
      <c r="E47" s="118">
        <v>1.5</v>
      </c>
      <c r="F47" s="119">
        <v>1</v>
      </c>
      <c r="G47" s="231">
        <f>IF(C47="ON", PI()*(D47/2)^2*F47, 0)</f>
        <v>0.86590147514568672</v>
      </c>
      <c r="H47" s="232">
        <f>G47*'Design calculator'!$F$21*'Design calculator'!$F$20</f>
        <v>8.6590147514568678E-6</v>
      </c>
      <c r="I47" s="233">
        <f>IF(C47="ON", PI()*(D47/2)^2*E47*F47, 0)</f>
        <v>1.29885221271853</v>
      </c>
      <c r="J47" s="234">
        <f>IF(C47="ON", IFERROR(-((4.6 * D47) / (4 * F$20)) *LOG10((D47 / 4) / (E47 + (D47 / 4))) / 3600, 0), 0)</f>
        <v>27.738952226115654</v>
      </c>
      <c r="K47" s="235"/>
      <c r="S47" s="130" t="s">
        <v>259</v>
      </c>
      <c r="T47" s="131"/>
      <c r="U47" s="131"/>
      <c r="V47" s="131"/>
      <c r="W47" s="131"/>
      <c r="X47" s="160"/>
      <c r="Y47" s="133"/>
      <c r="Z47" s="133"/>
      <c r="AA47" s="133"/>
      <c r="AB47" s="133"/>
      <c r="AC47" s="133"/>
      <c r="AD47" s="133"/>
      <c r="AE47" s="133"/>
      <c r="AF47" s="135"/>
      <c r="BB47" s="309"/>
      <c r="BC47" s="309"/>
    </row>
    <row r="48" spans="1:55" ht="19.5" x14ac:dyDescent="0.25">
      <c r="A48" s="156" t="s">
        <v>77</v>
      </c>
      <c r="B48" s="121"/>
      <c r="C48" s="117" t="s">
        <v>78</v>
      </c>
      <c r="D48" s="118">
        <v>1.05</v>
      </c>
      <c r="E48" s="118">
        <v>1.5</v>
      </c>
      <c r="F48" s="119">
        <v>1</v>
      </c>
      <c r="G48" s="231">
        <f>IF(C48="ON", PI()*(D48/2)^2*F48, 0)</f>
        <v>0.86590147514568672</v>
      </c>
      <c r="H48" s="232">
        <f>G48*'Design calculator'!$F$21*'Design calculator'!$F$20</f>
        <v>8.6590147514568678E-6</v>
      </c>
      <c r="I48" s="233">
        <f>IF(C48="ON", PI()*(D48/2)^2*E48*F48, 0)</f>
        <v>1.29885221271853</v>
      </c>
      <c r="J48" s="234">
        <f>IF(C48="ON", IFERROR(-((4.6 * D48) / (4 * F$20)) *LOG10((D48 / 4) / (E48 + (D48 / 4))) / 3600, 0), 0)</f>
        <v>27.738952226115654</v>
      </c>
      <c r="K48" s="235"/>
      <c r="S48" s="130" t="s">
        <v>260</v>
      </c>
      <c r="T48" s="131"/>
      <c r="U48" s="131"/>
      <c r="V48" s="131"/>
      <c r="W48" s="131"/>
      <c r="X48" s="160"/>
      <c r="Y48" s="133"/>
      <c r="Z48" s="133"/>
      <c r="AA48" s="133"/>
      <c r="AB48" s="133"/>
      <c r="AC48" s="133"/>
      <c r="AD48" s="133"/>
      <c r="AE48" s="133"/>
      <c r="AF48" s="135"/>
      <c r="BB48" s="309"/>
      <c r="BC48" s="309"/>
    </row>
    <row r="49" spans="1:55" ht="19.5" x14ac:dyDescent="0.25">
      <c r="A49" s="156" t="s">
        <v>79</v>
      </c>
      <c r="B49" s="121"/>
      <c r="C49" s="117" t="s">
        <v>76</v>
      </c>
      <c r="D49" s="118">
        <v>1.2</v>
      </c>
      <c r="E49" s="118">
        <v>0.9</v>
      </c>
      <c r="F49" s="119">
        <v>1</v>
      </c>
      <c r="G49" s="231">
        <f>IF(C49="ON", PI()*(D49/2)^2*F49, 0)</f>
        <v>0</v>
      </c>
      <c r="H49" s="232">
        <f>G49*'Design calculator'!$F$21*'Design calculator'!$F$20</f>
        <v>0</v>
      </c>
      <c r="I49" s="233">
        <f>IF(C49="ON", PI()*(D49/2)^2*E49*F49, 0)</f>
        <v>0</v>
      </c>
      <c r="J49" s="234">
        <f>IF(C49="ON", IFERROR(-((4.6 * D49) / (4 * F$20)) *LOG10((D49 / 4) / (E49 + (D49 / 4))) / 3600, 0), 0)</f>
        <v>0</v>
      </c>
      <c r="K49" s="235"/>
      <c r="S49" s="130"/>
      <c r="T49" s="131"/>
      <c r="U49" s="131"/>
      <c r="V49" s="131"/>
      <c r="W49" s="131"/>
      <c r="X49" s="160"/>
      <c r="Y49" s="133"/>
      <c r="Z49" s="133"/>
      <c r="AA49" s="133"/>
      <c r="AB49" s="133"/>
      <c r="AC49" s="133"/>
      <c r="AD49" s="133"/>
      <c r="AE49" s="133"/>
      <c r="AF49" s="135"/>
      <c r="BB49" s="309"/>
      <c r="BC49" s="309"/>
    </row>
    <row r="50" spans="1:55" ht="20.25" hidden="1" thickBot="1" x14ac:dyDescent="0.3">
      <c r="A50" s="120"/>
      <c r="B50" s="121"/>
      <c r="C50" s="122"/>
      <c r="D50" s="122"/>
      <c r="E50" s="122"/>
      <c r="F50" s="123" t="s">
        <v>80</v>
      </c>
      <c r="G50" s="124">
        <f>SUM(G47:G49)</f>
        <v>1.7318029502913734</v>
      </c>
      <c r="H50" s="125">
        <f>SUM(H47:H49)</f>
        <v>1.7318029502913736E-5</v>
      </c>
      <c r="I50" s="126">
        <f>SUM(I47:I49)</f>
        <v>2.59770442543706</v>
      </c>
      <c r="J50" s="127">
        <f>MAX(J47:J49)</f>
        <v>27.738952226115654</v>
      </c>
      <c r="K50" s="128"/>
      <c r="Q50" s="312"/>
      <c r="S50" s="130"/>
      <c r="T50" s="131"/>
      <c r="U50" s="131"/>
      <c r="V50" s="131"/>
      <c r="W50" s="131"/>
      <c r="X50" s="132"/>
      <c r="Y50" s="133"/>
      <c r="Z50" s="134"/>
      <c r="AA50" s="133"/>
      <c r="AB50" s="133"/>
      <c r="AC50" s="133"/>
      <c r="AD50" s="133"/>
      <c r="AE50" s="133"/>
      <c r="AF50" s="135"/>
      <c r="BB50" s="309"/>
      <c r="BC50" s="309"/>
    </row>
    <row r="51" spans="1:55" ht="19.5" hidden="1" x14ac:dyDescent="0.25">
      <c r="A51" s="136"/>
      <c r="B51" s="137"/>
      <c r="C51" s="122"/>
      <c r="D51" s="122"/>
      <c r="E51" s="122"/>
      <c r="F51" s="138"/>
      <c r="G51" s="139"/>
      <c r="H51" s="140"/>
      <c r="I51" s="139"/>
      <c r="J51" s="141" t="s">
        <v>81</v>
      </c>
      <c r="K51" s="142"/>
      <c r="Q51" s="312"/>
      <c r="R51" s="313"/>
      <c r="S51" s="130"/>
      <c r="T51" s="131"/>
      <c r="U51" s="131"/>
      <c r="V51" s="131"/>
      <c r="W51" s="131"/>
      <c r="X51" s="132"/>
      <c r="Y51" s="134"/>
      <c r="Z51" s="134"/>
      <c r="AA51" s="133"/>
      <c r="AB51" s="133"/>
      <c r="AC51" s="133"/>
      <c r="AD51" s="133"/>
      <c r="AE51" s="133"/>
      <c r="AF51" s="135"/>
      <c r="AU51" s="310"/>
    </row>
    <row r="52" spans="1:55" ht="20.25" hidden="1" customHeight="1" thickBot="1" x14ac:dyDescent="0.3">
      <c r="A52" s="376" t="s">
        <v>82</v>
      </c>
      <c r="B52" s="377"/>
      <c r="C52" s="377"/>
      <c r="D52" s="377"/>
      <c r="E52" s="377"/>
      <c r="F52" s="378"/>
      <c r="G52" s="143"/>
      <c r="H52" s="143"/>
      <c r="I52" s="122"/>
      <c r="J52" s="144"/>
      <c r="K52" s="129"/>
      <c r="Q52" s="313"/>
      <c r="R52" s="314"/>
      <c r="S52" s="130"/>
      <c r="T52" s="131"/>
      <c r="U52" s="131"/>
      <c r="V52" s="131"/>
      <c r="W52" s="131"/>
      <c r="X52" s="145"/>
      <c r="Y52" s="146"/>
      <c r="Z52" s="134"/>
      <c r="AA52" s="133"/>
      <c r="AB52" s="133"/>
      <c r="AC52" s="133"/>
      <c r="AD52" s="133"/>
      <c r="AE52" s="133"/>
      <c r="AF52" s="135"/>
    </row>
    <row r="53" spans="1:55" ht="21" hidden="1" customHeight="1" x14ac:dyDescent="0.25">
      <c r="A53" s="342" t="s">
        <v>83</v>
      </c>
      <c r="B53" s="343"/>
      <c r="C53" s="343"/>
      <c r="D53" s="343"/>
      <c r="E53" s="343"/>
      <c r="F53" s="343"/>
      <c r="G53" s="343"/>
      <c r="H53" s="383"/>
      <c r="I53" s="383"/>
      <c r="J53" s="384"/>
      <c r="K53" s="149"/>
      <c r="Q53" s="303"/>
      <c r="S53" s="130"/>
      <c r="T53" s="131"/>
      <c r="U53" s="131"/>
      <c r="V53" s="131"/>
      <c r="W53" s="131"/>
      <c r="X53" s="150"/>
      <c r="Y53" s="133"/>
      <c r="Z53" s="134"/>
      <c r="AA53" s="133"/>
      <c r="AB53" s="133"/>
      <c r="AC53" s="133"/>
      <c r="AD53" s="133"/>
      <c r="AE53" s="133"/>
      <c r="AF53" s="135"/>
    </row>
    <row r="54" spans="1:55" ht="19.5" hidden="1" customHeight="1" x14ac:dyDescent="0.25">
      <c r="A54" s="120"/>
      <c r="B54" s="121"/>
      <c r="C54" s="151" t="s">
        <v>84</v>
      </c>
      <c r="D54" s="152"/>
      <c r="E54" s="152"/>
      <c r="F54" s="152"/>
      <c r="G54" s="152"/>
      <c r="H54" s="121"/>
      <c r="I54" s="121"/>
      <c r="J54" s="144"/>
      <c r="K54" s="129"/>
      <c r="Q54" s="312"/>
      <c r="R54" s="313"/>
      <c r="S54" s="130"/>
      <c r="T54" s="131"/>
      <c r="U54" s="131"/>
      <c r="V54" s="131"/>
      <c r="W54" s="131"/>
      <c r="X54" s="132"/>
      <c r="Y54" s="134"/>
      <c r="Z54" s="134"/>
      <c r="AA54" s="133"/>
      <c r="AB54" s="133"/>
      <c r="AC54" s="133"/>
      <c r="AD54" s="133"/>
      <c r="AE54" s="133"/>
      <c r="AF54" s="135"/>
    </row>
    <row r="55" spans="1:55" ht="60" hidden="1" customHeight="1" x14ac:dyDescent="0.25">
      <c r="A55" s="120"/>
      <c r="B55" s="121"/>
      <c r="C55" s="153" t="s">
        <v>67</v>
      </c>
      <c r="D55" s="154" t="s">
        <v>85</v>
      </c>
      <c r="E55" s="154" t="s">
        <v>86</v>
      </c>
      <c r="F55" s="154" t="s">
        <v>87</v>
      </c>
      <c r="G55" s="154" t="s">
        <v>88</v>
      </c>
      <c r="H55" s="155"/>
      <c r="I55" s="121"/>
      <c r="J55" s="144"/>
      <c r="K55" s="129"/>
      <c r="Q55" s="312"/>
      <c r="S55" s="130"/>
      <c r="T55" s="131"/>
      <c r="U55" s="131"/>
      <c r="V55" s="131"/>
      <c r="W55" s="131"/>
      <c r="X55" s="132"/>
      <c r="Y55" s="133"/>
      <c r="Z55" s="134"/>
      <c r="AA55" s="133"/>
      <c r="AB55" s="133"/>
      <c r="AC55" s="133"/>
      <c r="AD55" s="133"/>
      <c r="AE55" s="133"/>
      <c r="AF55" s="135"/>
    </row>
    <row r="56" spans="1:55" ht="19.5" hidden="1" customHeight="1" x14ac:dyDescent="0.25">
      <c r="A56" s="156" t="s">
        <v>75</v>
      </c>
      <c r="B56" s="121"/>
      <c r="C56" s="157" t="s">
        <v>76</v>
      </c>
      <c r="D56" s="158">
        <v>2000</v>
      </c>
      <c r="E56" s="158">
        <v>1000</v>
      </c>
      <c r="F56" s="159">
        <v>1</v>
      </c>
      <c r="G56" s="153">
        <f>IF(C56="ON",E56*F56/1000,0)</f>
        <v>0</v>
      </c>
      <c r="H56" s="155"/>
      <c r="I56" s="121"/>
      <c r="J56" s="144"/>
      <c r="K56" s="129"/>
      <c r="S56" s="130"/>
      <c r="T56" s="131"/>
      <c r="U56" s="131"/>
      <c r="V56" s="131"/>
      <c r="W56" s="131"/>
      <c r="X56" s="160"/>
      <c r="Y56" s="133"/>
      <c r="Z56" s="133"/>
      <c r="AA56" s="133"/>
      <c r="AB56" s="133"/>
      <c r="AC56" s="133"/>
      <c r="AD56" s="133"/>
      <c r="AE56" s="133"/>
      <c r="AF56" s="135"/>
    </row>
    <row r="57" spans="1:55" ht="19.5" hidden="1" customHeight="1" x14ac:dyDescent="0.25">
      <c r="A57" s="156" t="s">
        <v>77</v>
      </c>
      <c r="B57" s="121"/>
      <c r="C57" s="157" t="s">
        <v>76</v>
      </c>
      <c r="D57" s="158">
        <v>3000</v>
      </c>
      <c r="E57" s="158">
        <v>1000</v>
      </c>
      <c r="F57" s="159">
        <v>4</v>
      </c>
      <c r="G57" s="153">
        <f t="shared" ref="G57:G58" si="0">IF(C57="ON",E57*F57/1000,0)</f>
        <v>0</v>
      </c>
      <c r="H57" s="155"/>
      <c r="I57" s="121"/>
      <c r="J57" s="144"/>
      <c r="K57" s="129"/>
      <c r="S57" s="130"/>
      <c r="T57" s="131"/>
      <c r="U57" s="131"/>
      <c r="V57" s="131"/>
      <c r="W57" s="131"/>
      <c r="X57" s="160"/>
      <c r="Y57" s="133"/>
      <c r="Z57" s="133"/>
      <c r="AA57" s="133"/>
      <c r="AB57" s="133"/>
      <c r="AC57" s="133"/>
      <c r="AD57" s="133"/>
      <c r="AE57" s="133"/>
      <c r="AF57" s="135"/>
    </row>
    <row r="58" spans="1:55" ht="19.5" hidden="1" customHeight="1" x14ac:dyDescent="0.25">
      <c r="A58" s="156" t="s">
        <v>79</v>
      </c>
      <c r="B58" s="121"/>
      <c r="C58" s="157" t="s">
        <v>76</v>
      </c>
      <c r="D58" s="158">
        <v>5000</v>
      </c>
      <c r="E58" s="158">
        <v>1000</v>
      </c>
      <c r="F58" s="159">
        <v>0</v>
      </c>
      <c r="G58" s="153">
        <f t="shared" si="0"/>
        <v>0</v>
      </c>
      <c r="H58" s="155"/>
      <c r="I58" s="121"/>
      <c r="J58" s="144"/>
      <c r="K58" s="129"/>
      <c r="S58" s="130"/>
      <c r="T58" s="131"/>
      <c r="U58" s="131"/>
      <c r="V58" s="131"/>
      <c r="W58" s="131"/>
      <c r="X58" s="160"/>
      <c r="Y58" s="133"/>
      <c r="Z58" s="133"/>
      <c r="AA58" s="133"/>
      <c r="AB58" s="133"/>
      <c r="AC58" s="133"/>
      <c r="AD58" s="133"/>
      <c r="AE58" s="133"/>
      <c r="AF58" s="135"/>
    </row>
    <row r="59" spans="1:55" ht="19.5" hidden="1" customHeight="1" x14ac:dyDescent="0.25">
      <c r="A59" s="120"/>
      <c r="B59" s="121"/>
      <c r="C59" s="151"/>
      <c r="D59" s="152"/>
      <c r="E59" s="152"/>
      <c r="F59" s="123" t="s">
        <v>80</v>
      </c>
      <c r="G59" s="161">
        <f>SUM(G56:G58)</f>
        <v>0</v>
      </c>
      <c r="H59" s="155"/>
      <c r="I59" s="121"/>
      <c r="J59" s="144"/>
      <c r="K59" s="129"/>
      <c r="S59" s="130"/>
      <c r="T59" s="131"/>
      <c r="U59" s="131"/>
      <c r="V59" s="131"/>
      <c r="W59" s="131"/>
      <c r="X59" s="160"/>
      <c r="Y59" s="133"/>
      <c r="Z59" s="133"/>
      <c r="AA59" s="133"/>
      <c r="AB59" s="133"/>
      <c r="AC59" s="133"/>
      <c r="AD59" s="133"/>
      <c r="AE59" s="133"/>
      <c r="AF59" s="135"/>
    </row>
    <row r="60" spans="1:55" ht="19.5" hidden="1" customHeight="1" x14ac:dyDescent="0.25">
      <c r="A60" s="120"/>
      <c r="B60" s="151"/>
      <c r="C60" s="152"/>
      <c r="D60" s="152"/>
      <c r="E60" s="123"/>
      <c r="F60" s="162"/>
      <c r="G60" s="152"/>
      <c r="H60" s="121"/>
      <c r="I60" s="121"/>
      <c r="J60" s="144"/>
      <c r="K60" s="129"/>
      <c r="S60" s="130"/>
      <c r="T60" s="131"/>
      <c r="U60" s="131"/>
      <c r="V60" s="131"/>
      <c r="W60" s="131"/>
      <c r="X60" s="160"/>
      <c r="Y60" s="133"/>
      <c r="Z60" s="133"/>
      <c r="AA60" s="133"/>
      <c r="AB60" s="133"/>
      <c r="AC60" s="133"/>
      <c r="AD60" s="133"/>
      <c r="AE60" s="133"/>
      <c r="AF60" s="135"/>
    </row>
    <row r="61" spans="1:55" ht="21" hidden="1" customHeight="1" x14ac:dyDescent="0.25">
      <c r="A61" s="147" t="s">
        <v>89</v>
      </c>
      <c r="B61" s="163"/>
      <c r="C61" s="148"/>
      <c r="D61" s="148"/>
      <c r="E61" s="164"/>
      <c r="F61" s="165"/>
      <c r="G61" s="148"/>
      <c r="H61" s="166"/>
      <c r="I61" s="167"/>
      <c r="J61" s="168"/>
      <c r="K61" s="169"/>
      <c r="S61" s="130"/>
      <c r="T61" s="131"/>
      <c r="U61" s="131"/>
      <c r="V61" s="131"/>
      <c r="W61" s="131"/>
      <c r="X61" s="160"/>
      <c r="Y61" s="133"/>
      <c r="Z61" s="133"/>
      <c r="AA61" s="133"/>
      <c r="AB61" s="133"/>
      <c r="AC61" s="133"/>
      <c r="AD61" s="133"/>
      <c r="AE61" s="133"/>
      <c r="AF61" s="135"/>
    </row>
    <row r="62" spans="1:55" ht="19.5" hidden="1" customHeight="1" x14ac:dyDescent="0.25">
      <c r="A62" s="120"/>
      <c r="B62" s="151"/>
      <c r="C62" s="151" t="s">
        <v>90</v>
      </c>
      <c r="D62" s="152"/>
      <c r="E62" s="123"/>
      <c r="F62" s="162"/>
      <c r="G62" s="152"/>
      <c r="H62" s="152"/>
      <c r="I62" s="152"/>
      <c r="J62" s="170"/>
      <c r="K62" s="149"/>
      <c r="S62" s="130"/>
      <c r="T62" s="131"/>
      <c r="U62" s="131"/>
      <c r="V62" s="131"/>
      <c r="W62" s="131"/>
      <c r="X62" s="160"/>
      <c r="Y62" s="133"/>
      <c r="Z62" s="133"/>
      <c r="AA62" s="133"/>
      <c r="AB62" s="133"/>
      <c r="AC62" s="133"/>
      <c r="AD62" s="133"/>
      <c r="AE62" s="133"/>
      <c r="AF62" s="135"/>
    </row>
    <row r="63" spans="1:55" ht="45" hidden="1" customHeight="1" x14ac:dyDescent="0.25">
      <c r="A63" s="120" t="s">
        <v>91</v>
      </c>
      <c r="B63" s="151"/>
      <c r="C63" s="379" t="str">
        <f>IF(
    OR(
        AND(OR(F$19="SANDY CLAY", F$19="MEDIUM CLAY", F$19="HEAVY CLAY", AND(F$19="CUSTOM", F$20&gt;0.5)), F$13="YES"),
        AND(F$19="SAND", F$13="YES", F$12="NO")
    ),
    "ON",
    "OFF"
)</f>
        <v>OFF</v>
      </c>
      <c r="D63" s="171" t="s">
        <v>92</v>
      </c>
      <c r="E63" s="172" t="s">
        <v>93</v>
      </c>
      <c r="F63" s="154" t="s">
        <v>94</v>
      </c>
      <c r="G63" s="154" t="s">
        <v>95</v>
      </c>
      <c r="H63" s="154" t="s">
        <v>96</v>
      </c>
      <c r="I63" s="154" t="s">
        <v>97</v>
      </c>
      <c r="J63" s="173" t="s">
        <v>98</v>
      </c>
      <c r="K63" s="174"/>
      <c r="S63" s="130"/>
      <c r="T63" s="131"/>
      <c r="U63" s="131"/>
      <c r="V63" s="131"/>
      <c r="W63" s="131"/>
      <c r="X63" s="160"/>
      <c r="Y63" s="133"/>
      <c r="Z63" s="133"/>
      <c r="AA63" s="133"/>
      <c r="AB63" s="133"/>
      <c r="AC63" s="133"/>
      <c r="AD63" s="133"/>
      <c r="AE63" s="133"/>
      <c r="AF63" s="135"/>
    </row>
    <row r="64" spans="1:55" ht="29.45" hidden="1" customHeight="1" thickBot="1" x14ac:dyDescent="0.3">
      <c r="A64" s="175"/>
      <c r="B64" s="151"/>
      <c r="C64" s="380"/>
      <c r="D64" s="176">
        <v>600</v>
      </c>
      <c r="E64" s="177">
        <v>600</v>
      </c>
      <c r="F64" s="157">
        <v>300</v>
      </c>
      <c r="G64" s="178">
        <f>IF(C$63="ON", D$64*E$64*I$64/1000000, 0)</f>
        <v>0</v>
      </c>
      <c r="H64" s="179">
        <f>C$67</f>
        <v>0</v>
      </c>
      <c r="I64" s="180">
        <v>0.4</v>
      </c>
      <c r="J64" s="181">
        <v>0.61</v>
      </c>
      <c r="K64" s="182"/>
      <c r="S64" s="130"/>
      <c r="T64" s="131"/>
      <c r="U64" s="131"/>
      <c r="V64" s="131"/>
      <c r="W64" s="131"/>
      <c r="X64" s="160"/>
      <c r="Y64" s="133"/>
      <c r="Z64" s="133"/>
      <c r="AA64" s="133"/>
      <c r="AB64" s="133"/>
      <c r="AC64" s="133"/>
      <c r="AD64" s="133"/>
      <c r="AE64" s="133"/>
      <c r="AF64" s="135"/>
    </row>
    <row r="65" spans="1:53" ht="25.9" hidden="1" customHeight="1" thickBot="1" x14ac:dyDescent="0.3">
      <c r="A65" s="136" t="s">
        <v>99</v>
      </c>
      <c r="B65" s="121"/>
      <c r="C65" s="183">
        <v>5</v>
      </c>
      <c r="D65" s="137"/>
      <c r="E65" s="121"/>
      <c r="F65" s="121"/>
      <c r="G65" s="152"/>
      <c r="H65" s="122"/>
      <c r="I65" s="122" t="s">
        <v>100</v>
      </c>
      <c r="J65" s="184">
        <f>IF(C$63="ON", FLOOR(SQRT(4*(H64/1000)/(PI()*J64*SQRT(2*9.81*I64)))*1000,1), 0)</f>
        <v>0</v>
      </c>
      <c r="K65" s="185"/>
      <c r="S65" s="130"/>
      <c r="T65" s="131"/>
      <c r="U65" s="131"/>
      <c r="V65" s="131"/>
      <c r="W65" s="131"/>
      <c r="X65" s="160"/>
      <c r="Y65" s="133"/>
      <c r="Z65" s="133"/>
      <c r="AA65" s="133"/>
      <c r="AB65" s="133"/>
      <c r="AC65" s="133"/>
      <c r="AD65" s="133"/>
      <c r="AE65" s="133"/>
      <c r="AF65" s="135"/>
    </row>
    <row r="66" spans="1:53" ht="27" hidden="1" customHeight="1" thickBot="1" x14ac:dyDescent="0.25">
      <c r="A66" s="136" t="s">
        <v>101</v>
      </c>
      <c r="B66" s="121"/>
      <c r="C66" s="186">
        <v>10</v>
      </c>
      <c r="D66" s="137"/>
      <c r="E66" s="123"/>
      <c r="F66" s="162"/>
      <c r="G66" s="152"/>
      <c r="H66" s="121"/>
      <c r="I66" s="121"/>
      <c r="J66" s="144"/>
      <c r="K66" s="129"/>
      <c r="S66" s="130"/>
      <c r="T66" s="131"/>
      <c r="U66" s="131"/>
      <c r="V66" s="131"/>
      <c r="W66" s="131"/>
      <c r="X66" s="160"/>
      <c r="Y66" s="133"/>
      <c r="Z66" s="133"/>
      <c r="AA66" s="133"/>
      <c r="AB66" s="133"/>
      <c r="AC66" s="133"/>
      <c r="AD66" s="133"/>
      <c r="AE66" s="133"/>
      <c r="AF66" s="135"/>
    </row>
    <row r="67" spans="1:53" ht="24.6" hidden="1" customHeight="1" x14ac:dyDescent="0.25">
      <c r="A67" s="136" t="s">
        <v>102</v>
      </c>
      <c r="B67" s="121"/>
      <c r="C67" s="187">
        <f>IF(C$63="ON", 'OSD Mass-Curve'!B4, 0)</f>
        <v>0</v>
      </c>
      <c r="D67" s="137" t="s">
        <v>103</v>
      </c>
      <c r="E67" s="123"/>
      <c r="F67" s="162"/>
      <c r="G67" s="152"/>
      <c r="H67" s="188" t="s">
        <v>104</v>
      </c>
      <c r="I67" s="189"/>
      <c r="J67" s="190"/>
      <c r="K67" s="15"/>
      <c r="S67" s="130"/>
      <c r="T67" s="131"/>
      <c r="U67" s="131"/>
      <c r="V67" s="131"/>
      <c r="W67" s="131"/>
      <c r="X67" s="160"/>
      <c r="Y67" s="133"/>
      <c r="Z67" s="133"/>
      <c r="AA67" s="133"/>
      <c r="AB67" s="133"/>
      <c r="AC67" s="133"/>
      <c r="AD67" s="133"/>
      <c r="AE67" s="133"/>
      <c r="AF67" s="135"/>
    </row>
    <row r="68" spans="1:53" ht="24" hidden="1" customHeight="1" x14ac:dyDescent="0.25">
      <c r="A68" s="136" t="s">
        <v>105</v>
      </c>
      <c r="B68" s="121"/>
      <c r="C68" s="187">
        <f>IF(C$63="ON", 'OSD Mass-Curve'!O5, 0)</f>
        <v>0</v>
      </c>
      <c r="D68" s="137" t="s">
        <v>64</v>
      </c>
      <c r="E68" s="123"/>
      <c r="F68" s="162"/>
      <c r="G68" s="152"/>
      <c r="H68" s="191" t="s">
        <v>106</v>
      </c>
      <c r="I68" s="192"/>
      <c r="J68" s="193"/>
      <c r="K68" s="15"/>
      <c r="S68" s="130"/>
      <c r="T68" s="131"/>
      <c r="U68" s="131"/>
      <c r="V68" s="131"/>
      <c r="W68" s="131"/>
      <c r="X68" s="160"/>
      <c r="Y68" s="133"/>
      <c r="Z68" s="133"/>
      <c r="AA68" s="133"/>
      <c r="AB68" s="133"/>
      <c r="AC68" s="133"/>
      <c r="AD68" s="133"/>
      <c r="AE68" s="133"/>
      <c r="AF68" s="135"/>
    </row>
    <row r="69" spans="1:53" ht="20.25" hidden="1" customHeight="1" thickBot="1" x14ac:dyDescent="0.3">
      <c r="A69" s="120"/>
      <c r="B69" s="151"/>
      <c r="C69" s="152"/>
      <c r="D69" s="152"/>
      <c r="E69" s="152"/>
      <c r="F69" s="152"/>
      <c r="G69" s="152"/>
      <c r="H69" s="194" t="s">
        <v>107</v>
      </c>
      <c r="I69" s="195"/>
      <c r="J69" s="196"/>
      <c r="K69" s="15"/>
      <c r="S69" s="130"/>
      <c r="T69" s="131"/>
      <c r="U69" s="131"/>
      <c r="V69" s="131"/>
      <c r="W69" s="131"/>
      <c r="X69" s="160"/>
      <c r="Y69" s="133"/>
      <c r="Z69" s="133"/>
      <c r="AA69" s="133"/>
      <c r="AB69" s="133"/>
      <c r="AC69" s="133"/>
      <c r="AD69" s="133"/>
      <c r="AE69" s="133"/>
      <c r="AF69" s="135"/>
    </row>
    <row r="70" spans="1:53" ht="19.5" hidden="1" customHeight="1" x14ac:dyDescent="0.25">
      <c r="A70" s="120"/>
      <c r="B70" s="151"/>
      <c r="C70" s="152"/>
      <c r="D70" s="152"/>
      <c r="E70" s="152"/>
      <c r="F70" s="152"/>
      <c r="G70" s="152"/>
      <c r="H70" s="197"/>
      <c r="I70" s="122"/>
      <c r="J70" s="198"/>
      <c r="K70" s="169"/>
      <c r="S70" s="130"/>
      <c r="T70" s="131"/>
      <c r="U70" s="131"/>
      <c r="V70" s="131"/>
      <c r="W70" s="131"/>
      <c r="X70" s="160"/>
      <c r="Y70" s="133"/>
      <c r="Z70" s="133"/>
      <c r="AA70" s="133"/>
      <c r="AB70" s="133"/>
      <c r="AC70" s="133"/>
      <c r="AD70" s="133"/>
      <c r="AE70" s="133"/>
      <c r="AF70" s="135"/>
    </row>
    <row r="71" spans="1:53" ht="21.75" thickBot="1" x14ac:dyDescent="0.3">
      <c r="A71" s="367" t="s">
        <v>267</v>
      </c>
      <c r="B71" s="368"/>
      <c r="C71" s="368"/>
      <c r="D71" s="368"/>
      <c r="E71" s="368"/>
      <c r="F71" s="368"/>
      <c r="G71" s="368"/>
      <c r="H71" s="368"/>
      <c r="I71" s="368"/>
      <c r="J71" s="369"/>
      <c r="K71" s="199"/>
      <c r="S71" s="130" t="s">
        <v>261</v>
      </c>
      <c r="T71" s="131"/>
      <c r="U71" s="131"/>
      <c r="V71" s="131"/>
      <c r="W71" s="131"/>
      <c r="X71" s="160"/>
      <c r="Y71" s="133"/>
      <c r="Z71" s="133"/>
      <c r="AA71" s="133"/>
      <c r="AB71" s="133"/>
      <c r="AC71" s="133"/>
      <c r="AD71" s="133"/>
      <c r="AE71" s="133"/>
      <c r="AF71" s="135"/>
    </row>
    <row r="72" spans="1:53" ht="20.25" hidden="1" customHeight="1" thickBot="1" x14ac:dyDescent="0.3">
      <c r="A72" s="200"/>
      <c r="B72" s="122"/>
      <c r="C72" s="122"/>
      <c r="D72" s="122"/>
      <c r="E72" s="122"/>
      <c r="F72" s="122"/>
      <c r="G72" s="122"/>
      <c r="H72" s="122"/>
      <c r="I72" s="122"/>
      <c r="J72" s="144"/>
      <c r="K72" s="129"/>
      <c r="S72" s="130"/>
      <c r="T72" s="131"/>
      <c r="U72" s="131"/>
      <c r="V72" s="131"/>
      <c r="W72" s="131"/>
      <c r="X72" s="160"/>
      <c r="Y72" s="133"/>
      <c r="Z72" s="133"/>
      <c r="AA72" s="133"/>
      <c r="AB72" s="133"/>
      <c r="AC72" s="133"/>
      <c r="AD72" s="133"/>
      <c r="AE72" s="133"/>
      <c r="AF72" s="135"/>
    </row>
    <row r="73" spans="1:53" ht="20.25" hidden="1" customHeight="1" thickBot="1" x14ac:dyDescent="0.3">
      <c r="A73" s="201" t="s">
        <v>108</v>
      </c>
      <c r="B73" s="202"/>
      <c r="C73" s="192"/>
      <c r="D73" s="192"/>
      <c r="E73" s="192"/>
      <c r="F73" s="203">
        <f>I$50</f>
        <v>2.59770442543706</v>
      </c>
      <c r="G73" s="204" t="s">
        <v>64</v>
      </c>
      <c r="H73" s="192"/>
      <c r="I73" s="192"/>
      <c r="J73" s="144"/>
      <c r="K73" s="129"/>
      <c r="S73" s="130"/>
      <c r="T73" s="131"/>
      <c r="U73" s="131"/>
      <c r="V73" s="131"/>
      <c r="W73" s="131"/>
      <c r="X73" s="160"/>
      <c r="Y73" s="133"/>
      <c r="Z73" s="133"/>
      <c r="AA73" s="133"/>
      <c r="AB73" s="133"/>
      <c r="AC73" s="133"/>
      <c r="AD73" s="133"/>
      <c r="AE73" s="133"/>
      <c r="AF73" s="135"/>
      <c r="AV73" s="311"/>
      <c r="AW73" s="311"/>
      <c r="AX73" s="311"/>
      <c r="AY73" s="311" t="s">
        <v>109</v>
      </c>
      <c r="AZ73" s="311"/>
      <c r="BA73" s="311"/>
    </row>
    <row r="74" spans="1:53" ht="20.25" hidden="1" customHeight="1" thickBot="1" x14ac:dyDescent="0.3">
      <c r="A74" s="175" t="s">
        <v>110</v>
      </c>
      <c r="B74" s="121"/>
      <c r="C74" s="121"/>
      <c r="D74" s="121"/>
      <c r="E74" s="121"/>
      <c r="F74" s="203">
        <f>G$59</f>
        <v>0</v>
      </c>
      <c r="G74" s="204" t="s">
        <v>64</v>
      </c>
      <c r="H74" s="121"/>
      <c r="I74" s="121"/>
      <c r="J74" s="144"/>
      <c r="K74" s="129"/>
      <c r="S74" s="130"/>
      <c r="T74" s="131"/>
      <c r="U74" s="131"/>
      <c r="V74" s="131"/>
      <c r="W74" s="131"/>
      <c r="X74" s="160"/>
      <c r="Y74" s="133"/>
      <c r="Z74" s="133"/>
      <c r="AA74" s="133"/>
      <c r="AB74" s="133"/>
      <c r="AC74" s="133"/>
      <c r="AD74" s="133"/>
      <c r="AE74" s="133"/>
      <c r="AF74" s="135"/>
    </row>
    <row r="75" spans="1:53" ht="20.25" hidden="1" customHeight="1" thickBot="1" x14ac:dyDescent="0.3">
      <c r="A75" s="175" t="s">
        <v>111</v>
      </c>
      <c r="B75" s="121"/>
      <c r="C75" s="121"/>
      <c r="D75" s="121"/>
      <c r="E75" s="121"/>
      <c r="F75" s="205">
        <f>G$64</f>
        <v>0</v>
      </c>
      <c r="G75" s="204" t="s">
        <v>64</v>
      </c>
      <c r="H75" s="121"/>
      <c r="I75" s="121"/>
      <c r="J75" s="144"/>
      <c r="K75" s="129"/>
      <c r="S75" s="130"/>
      <c r="T75" s="131"/>
      <c r="U75" s="131"/>
      <c r="V75" s="131"/>
      <c r="W75" s="131"/>
      <c r="X75" s="160"/>
      <c r="Y75" s="133"/>
      <c r="Z75" s="133"/>
      <c r="AA75" s="133"/>
      <c r="AB75" s="133"/>
      <c r="AC75" s="133"/>
      <c r="AD75" s="133"/>
      <c r="AE75" s="133"/>
      <c r="AF75" s="135"/>
    </row>
    <row r="76" spans="1:53" ht="20.25" thickBot="1" x14ac:dyDescent="0.3">
      <c r="A76" s="206" t="s">
        <v>112</v>
      </c>
      <c r="B76" s="121"/>
      <c r="C76" s="121"/>
      <c r="D76" s="121"/>
      <c r="E76" s="121"/>
      <c r="F76" s="207">
        <f>SUM(F73:F75)</f>
        <v>2.59770442543706</v>
      </c>
      <c r="G76" s="204" t="s">
        <v>64</v>
      </c>
      <c r="H76" s="121"/>
      <c r="I76" s="121"/>
      <c r="J76" s="144"/>
      <c r="K76" s="121" t="s">
        <v>64</v>
      </c>
      <c r="S76" s="130" t="s">
        <v>262</v>
      </c>
      <c r="T76" s="131"/>
      <c r="U76" s="131"/>
      <c r="V76" s="131"/>
      <c r="W76" s="131"/>
      <c r="X76" s="160"/>
      <c r="Y76" s="133"/>
      <c r="Z76" s="133"/>
      <c r="AA76" s="133"/>
      <c r="AB76" s="133"/>
      <c r="AC76" s="133"/>
      <c r="AD76" s="133"/>
      <c r="AE76" s="133"/>
      <c r="AF76" s="135"/>
    </row>
    <row r="77" spans="1:53" ht="19.5" hidden="1" customHeight="1" x14ac:dyDescent="0.3">
      <c r="A77" s="175"/>
      <c r="B77" s="121"/>
      <c r="C77" s="121"/>
      <c r="D77" s="121"/>
      <c r="E77" s="121"/>
      <c r="F77" s="204"/>
      <c r="G77" s="204"/>
      <c r="H77" s="121"/>
      <c r="I77" s="121"/>
      <c r="J77" s="144"/>
      <c r="K77" s="129"/>
      <c r="S77" s="130" t="s">
        <v>263</v>
      </c>
      <c r="T77" s="131"/>
      <c r="U77" s="131"/>
      <c r="V77" s="131"/>
      <c r="W77" s="131"/>
      <c r="X77" s="160"/>
      <c r="Y77" s="133"/>
      <c r="Z77" s="133"/>
      <c r="AA77" s="133"/>
      <c r="AB77" s="133"/>
      <c r="AC77" s="133"/>
      <c r="AD77" s="133"/>
      <c r="AE77" s="133"/>
      <c r="AF77" s="135"/>
    </row>
    <row r="78" spans="1:53" ht="21.75" customHeight="1" thickBot="1" x14ac:dyDescent="0.3">
      <c r="A78" s="339" t="s">
        <v>266</v>
      </c>
      <c r="B78" s="340"/>
      <c r="C78" s="340"/>
      <c r="D78" s="340"/>
      <c r="E78" s="340"/>
      <c r="F78" s="340"/>
      <c r="G78" s="340"/>
      <c r="H78" s="340"/>
      <c r="I78" s="340"/>
      <c r="J78" s="341"/>
      <c r="K78" s="199"/>
      <c r="S78" s="130"/>
      <c r="T78" s="131"/>
      <c r="U78" s="131"/>
      <c r="V78" s="131"/>
      <c r="W78" s="131"/>
      <c r="X78" s="160"/>
      <c r="Y78" s="133"/>
      <c r="Z78" s="133"/>
      <c r="AA78" s="133"/>
      <c r="AB78" s="133"/>
      <c r="AC78" s="133"/>
      <c r="AD78" s="133"/>
      <c r="AE78" s="133"/>
      <c r="AF78" s="135"/>
    </row>
    <row r="79" spans="1:53" ht="20.25" hidden="1" customHeight="1" thickBot="1" x14ac:dyDescent="0.3">
      <c r="A79" s="200"/>
      <c r="B79" s="122"/>
      <c r="C79" s="122"/>
      <c r="D79" s="122"/>
      <c r="E79" s="122"/>
      <c r="F79" s="122"/>
      <c r="G79" s="122"/>
      <c r="H79" s="122"/>
      <c r="I79" s="122"/>
      <c r="J79" s="144"/>
      <c r="K79" s="133"/>
      <c r="S79" s="130"/>
      <c r="T79" s="131"/>
      <c r="U79" s="131"/>
      <c r="V79" s="131"/>
      <c r="W79" s="131"/>
      <c r="X79" s="160"/>
      <c r="Y79" s="133"/>
      <c r="Z79" s="133"/>
      <c r="AA79" s="133"/>
      <c r="AB79" s="133"/>
      <c r="AC79" s="133"/>
      <c r="AD79" s="133"/>
      <c r="AE79" s="133"/>
      <c r="AF79" s="135"/>
    </row>
    <row r="80" spans="1:53" ht="24" hidden="1" customHeight="1" thickBot="1" x14ac:dyDescent="0.3">
      <c r="A80" s="337" t="str">
        <f>"Storage Volume Required, " &amp; F$37 &amp; " Minutes Duration"</f>
        <v>Storage Volume Required, 60 Minutes Duration</v>
      </c>
      <c r="B80" s="338"/>
      <c r="C80" s="338"/>
      <c r="D80" s="338"/>
      <c r="E80" s="152"/>
      <c r="F80" s="208">
        <f>IF(F$25=2,'Output-Analysis '!I$37,IF(F$25=5,'Output-Analysis '!I$227,IF(F$25=20,'Output-Analysis '!I$74,IF(F$25=10,'Output-Analysis '!I$150,IF(F$25=50,'Output-Analysis '!I$189,IF(F$25=100,'Output-Analysis '!I$111))))))</f>
        <v>13.679646343789512</v>
      </c>
      <c r="G80" s="137" t="s">
        <v>64</v>
      </c>
      <c r="H80" s="137"/>
      <c r="I80" s="137"/>
      <c r="J80" s="144"/>
      <c r="K80" s="133"/>
      <c r="S80" s="130"/>
      <c r="T80" s="131"/>
      <c r="U80" s="131"/>
      <c r="V80" s="131"/>
      <c r="W80" s="131"/>
      <c r="X80" s="160"/>
      <c r="Y80" s="133"/>
      <c r="Z80" s="133"/>
      <c r="AA80" s="133"/>
      <c r="AB80" s="133"/>
      <c r="AC80" s="133"/>
      <c r="AD80" s="133"/>
      <c r="AE80" s="133"/>
      <c r="AF80" s="135"/>
    </row>
    <row r="81" spans="1:32" ht="22.5" hidden="1" customHeight="1" thickBot="1" x14ac:dyDescent="0.3">
      <c r="A81" s="337" t="s">
        <v>113</v>
      </c>
      <c r="B81" s="338"/>
      <c r="C81" s="338"/>
      <c r="D81" s="137"/>
      <c r="E81" s="137"/>
      <c r="F81" s="208">
        <f>C68</f>
        <v>0</v>
      </c>
      <c r="G81" s="137" t="s">
        <v>64</v>
      </c>
      <c r="H81" s="137"/>
      <c r="I81" s="137"/>
      <c r="J81" s="144"/>
      <c r="K81" s="133"/>
      <c r="S81" s="130"/>
      <c r="T81" s="131"/>
      <c r="U81" s="131"/>
      <c r="V81" s="131"/>
      <c r="W81" s="131"/>
      <c r="X81" s="160"/>
      <c r="Y81" s="133"/>
      <c r="Z81" s="133"/>
      <c r="AA81" s="133"/>
      <c r="AB81" s="133"/>
      <c r="AC81" s="133"/>
      <c r="AD81" s="133"/>
      <c r="AE81" s="133"/>
      <c r="AF81" s="135"/>
    </row>
    <row r="82" spans="1:32" ht="24" customHeight="1" thickBot="1" x14ac:dyDescent="0.3">
      <c r="A82" s="120" t="s">
        <v>114</v>
      </c>
      <c r="B82" s="137"/>
      <c r="C82" s="137"/>
      <c r="D82" s="389" t="s">
        <v>275</v>
      </c>
      <c r="E82" s="390"/>
      <c r="F82" s="209">
        <f>MAX(F80:F81)</f>
        <v>13.679646343789512</v>
      </c>
      <c r="G82" s="137" t="s">
        <v>64</v>
      </c>
      <c r="H82" s="202"/>
      <c r="I82" s="137"/>
      <c r="J82" s="144"/>
      <c r="K82" s="137" t="s">
        <v>64</v>
      </c>
      <c r="S82" s="210" t="s">
        <v>264</v>
      </c>
      <c r="T82" s="211"/>
      <c r="U82" s="211"/>
      <c r="V82" s="211"/>
      <c r="W82" s="211"/>
      <c r="X82" s="212"/>
      <c r="Y82" s="213"/>
      <c r="Z82" s="213"/>
      <c r="AA82" s="213"/>
      <c r="AB82" s="213"/>
      <c r="AC82" s="213"/>
      <c r="AD82" s="213"/>
      <c r="AE82" s="213"/>
      <c r="AF82" s="214"/>
    </row>
    <row r="83" spans="1:32" hidden="1" x14ac:dyDescent="0.25">
      <c r="A83" s="120"/>
      <c r="B83" s="137"/>
      <c r="C83" s="137"/>
      <c r="D83" s="137"/>
      <c r="E83" s="137"/>
      <c r="F83" s="137"/>
      <c r="G83" s="137"/>
      <c r="H83" s="137"/>
      <c r="I83" s="137"/>
      <c r="J83" s="144"/>
      <c r="K83" s="129"/>
    </row>
    <row r="84" spans="1:32" hidden="1" x14ac:dyDescent="0.25">
      <c r="A84" s="136" t="s">
        <v>115</v>
      </c>
      <c r="B84" s="137"/>
      <c r="C84" s="137"/>
      <c r="D84" s="137"/>
      <c r="E84" s="137"/>
      <c r="F84" s="215">
        <f>IF(F$25=2,'Output-Analysis '!I$33,IF(F$25=5,'Output-Analysis '!I$70,IF(F$25=10,'Output-Analysis '!I$70,IF(F$25=20,'Output-Analysis '!I$70,IF(F$25=50,'Output-Analysis '!I$70,IF(F$25=100,'Output-Analysis '!I$107))))))</f>
        <v>64.823711196637788</v>
      </c>
      <c r="G84" s="137" t="s">
        <v>64</v>
      </c>
      <c r="H84" s="137"/>
      <c r="I84" s="137"/>
      <c r="J84" s="144"/>
      <c r="K84" s="129"/>
    </row>
    <row r="85" spans="1:32" hidden="1" x14ac:dyDescent="0.25">
      <c r="A85" s="201" t="s">
        <v>116</v>
      </c>
      <c r="B85" s="202"/>
      <c r="C85" s="137"/>
      <c r="D85" s="137"/>
      <c r="E85" s="137"/>
      <c r="F85" s="216" t="str">
        <f>IF(F$25=2,'Output-Analysis '!I$34,IF(F25=5,'Output-Analysis '!I224,IF(F25=10,'Output-Analysis '!I147,IF(F25=20,'Output-Analysis '!I71,IF(F25=50,'Output-Analysis '!I186,IF(F25=100,'Output-Analysis '!I108))))))</f>
        <v>168 hour</v>
      </c>
      <c r="G85" s="137"/>
      <c r="H85" s="137"/>
      <c r="I85" s="137"/>
      <c r="J85" s="144"/>
      <c r="K85" s="129"/>
    </row>
    <row r="86" spans="1:32" hidden="1" x14ac:dyDescent="0.25">
      <c r="A86" s="217" t="s">
        <v>117</v>
      </c>
      <c r="B86" s="218"/>
      <c r="C86" s="137"/>
      <c r="D86" s="137"/>
      <c r="E86" s="137"/>
      <c r="F86" s="215">
        <f>IF(F$25=2,'Output-Analysis '!I$35,IF(F25=5,'Output-Analysis '!I225,IF(F25=10,'Output-Analysis '!I148,IF(F25=20,'Output-Analysis '!I72,IF(F25=50,'Output-Analysis '!I187,IF(F25=100,'Output-Analysis '!I109))))))</f>
        <v>1.06</v>
      </c>
      <c r="G86" s="137" t="s">
        <v>46</v>
      </c>
      <c r="H86" s="137"/>
      <c r="I86" s="137"/>
      <c r="J86" s="144"/>
      <c r="K86" s="129"/>
    </row>
    <row r="87" spans="1:32" hidden="1" x14ac:dyDescent="0.25">
      <c r="A87" s="217" t="s">
        <v>118</v>
      </c>
      <c r="B87" s="218"/>
      <c r="C87" s="219"/>
      <c r="D87" s="219"/>
      <c r="E87" s="219"/>
      <c r="F87" s="220">
        <f>IF(F$25=2,'Output-Analysis '!I$36,IF(F25=5,'Output-Analysis '!I226,IF(F25=10,'Output-Analysis '!I149,IF(F25=20,'Output-Analysis '!I73,IF(F25=50,'Output-Analysis '!I188,IF(F25=100,'Output-Analysis '!I110))))))</f>
        <v>0.12450009166666669</v>
      </c>
      <c r="G87" s="221" t="s">
        <v>119</v>
      </c>
      <c r="H87" s="219"/>
      <c r="I87" s="219"/>
      <c r="J87" s="144"/>
      <c r="K87" s="129"/>
    </row>
    <row r="88" spans="1:32" hidden="1" x14ac:dyDescent="0.25">
      <c r="A88" s="217" t="s">
        <v>120</v>
      </c>
      <c r="B88" s="218"/>
      <c r="C88" s="219"/>
      <c r="D88" s="219"/>
      <c r="E88" s="219"/>
      <c r="F88" s="222">
        <f>J$50</f>
        <v>27.738952226115654</v>
      </c>
      <c r="G88" s="221" t="s">
        <v>121</v>
      </c>
      <c r="H88" s="219"/>
      <c r="I88" s="219"/>
      <c r="J88" s="144"/>
      <c r="K88" s="129"/>
    </row>
    <row r="89" spans="1:32" ht="21" hidden="1" x14ac:dyDescent="0.25">
      <c r="A89" s="342" t="s">
        <v>122</v>
      </c>
      <c r="B89" s="343"/>
      <c r="C89" s="343"/>
      <c r="D89" s="343"/>
      <c r="E89" s="343"/>
      <c r="F89" s="343"/>
      <c r="G89" s="343"/>
      <c r="H89" s="343"/>
      <c r="I89" s="343"/>
      <c r="J89" s="344"/>
      <c r="K89" s="223"/>
    </row>
    <row r="90" spans="1:32" ht="15.75" hidden="1" thickBot="1" x14ac:dyDescent="0.3">
      <c r="A90" s="200"/>
      <c r="B90" s="122"/>
      <c r="C90" s="122"/>
      <c r="D90" s="122"/>
      <c r="E90" s="122"/>
      <c r="F90" s="122"/>
      <c r="G90" s="122"/>
      <c r="H90" s="122"/>
      <c r="I90" s="122"/>
      <c r="J90" s="144"/>
      <c r="K90" s="129"/>
    </row>
    <row r="91" spans="1:32" ht="15.75" hidden="1" thickBot="1" x14ac:dyDescent="0.3">
      <c r="A91" s="136" t="s">
        <v>123</v>
      </c>
      <c r="B91" s="137"/>
      <c r="C91" s="122"/>
      <c r="D91" s="122"/>
      <c r="E91" s="122"/>
      <c r="F91" s="224">
        <f>J50</f>
        <v>27.738952226115654</v>
      </c>
      <c r="G91" s="137" t="s">
        <v>124</v>
      </c>
      <c r="H91" s="336" t="s">
        <v>125</v>
      </c>
      <c r="I91" s="336"/>
      <c r="J91" s="144"/>
      <c r="K91" s="129"/>
    </row>
    <row r="92" spans="1:32" ht="15.75" hidden="1" thickBot="1" x14ac:dyDescent="0.3">
      <c r="A92" s="200"/>
      <c r="B92" s="122"/>
      <c r="C92" s="122"/>
      <c r="D92" s="122"/>
      <c r="E92" s="122"/>
      <c r="F92" s="225">
        <f>F$91/24</f>
        <v>1.1557896760881523</v>
      </c>
      <c r="G92" s="221" t="s">
        <v>126</v>
      </c>
      <c r="H92" s="226" t="s">
        <v>127</v>
      </c>
      <c r="I92" s="227">
        <v>1</v>
      </c>
      <c r="J92" s="144" t="s">
        <v>128</v>
      </c>
      <c r="K92" s="129"/>
    </row>
    <row r="93" spans="1:32" hidden="1" x14ac:dyDescent="0.25">
      <c r="A93" s="228"/>
      <c r="B93" s="229"/>
      <c r="C93" s="219"/>
      <c r="D93" s="219"/>
      <c r="E93" s="219"/>
      <c r="F93" s="219"/>
      <c r="G93" s="121"/>
      <c r="H93" s="226" t="s">
        <v>129</v>
      </c>
      <c r="I93" s="227">
        <v>2.5</v>
      </c>
      <c r="J93" s="144" t="s">
        <v>128</v>
      </c>
      <c r="K93" s="129"/>
    </row>
    <row r="94" spans="1:32" hidden="1" x14ac:dyDescent="0.25">
      <c r="A94" s="228"/>
      <c r="B94" s="229"/>
      <c r="C94" s="219"/>
      <c r="D94" s="219"/>
      <c r="E94" s="219"/>
      <c r="F94" s="219"/>
      <c r="G94" s="219"/>
      <c r="H94" s="226" t="s">
        <v>130</v>
      </c>
      <c r="I94" s="227">
        <v>3.5</v>
      </c>
      <c r="J94" s="144" t="s">
        <v>128</v>
      </c>
      <c r="K94" s="129"/>
    </row>
    <row r="95" spans="1:32" hidden="1" x14ac:dyDescent="0.25">
      <c r="A95" s="228"/>
      <c r="B95" s="229"/>
      <c r="C95" s="219"/>
      <c r="D95" s="219"/>
      <c r="E95" s="219"/>
      <c r="F95" s="219"/>
      <c r="G95" s="219"/>
      <c r="H95" s="219"/>
      <c r="I95" s="219"/>
      <c r="J95" s="144"/>
      <c r="K95" s="129"/>
    </row>
    <row r="96" spans="1:32" ht="15.75" customHeight="1" x14ac:dyDescent="0.25">
      <c r="A96" s="324" t="s">
        <v>265</v>
      </c>
      <c r="B96" s="325"/>
      <c r="C96" s="325"/>
      <c r="D96" s="325"/>
      <c r="E96" s="325"/>
      <c r="F96" s="325"/>
      <c r="G96" s="325"/>
      <c r="H96" s="325"/>
      <c r="I96" s="325"/>
      <c r="J96" s="325"/>
      <c r="K96" s="326"/>
      <c r="S96" s="387" t="s">
        <v>276</v>
      </c>
      <c r="T96" s="388"/>
      <c r="U96" s="388"/>
      <c r="V96" s="388"/>
      <c r="W96" s="388"/>
      <c r="X96" s="388"/>
      <c r="Y96" s="388"/>
      <c r="Z96" s="388"/>
      <c r="AA96" s="388"/>
      <c r="AB96" s="388"/>
      <c r="AC96" s="388"/>
      <c r="AD96" s="388"/>
      <c r="AE96" s="388"/>
      <c r="AF96" s="388"/>
    </row>
    <row r="97" spans="1:32" x14ac:dyDescent="0.25">
      <c r="A97" s="327"/>
      <c r="B97" s="328"/>
      <c r="C97" s="328"/>
      <c r="D97" s="328"/>
      <c r="E97" s="328"/>
      <c r="F97" s="328"/>
      <c r="G97" s="328"/>
      <c r="H97" s="328"/>
      <c r="I97" s="328"/>
      <c r="J97" s="328"/>
      <c r="K97" s="329"/>
      <c r="S97" s="388"/>
      <c r="T97" s="388"/>
      <c r="U97" s="388"/>
      <c r="V97" s="388"/>
      <c r="W97" s="388"/>
      <c r="X97" s="388"/>
      <c r="Y97" s="388"/>
      <c r="Z97" s="388"/>
      <c r="AA97" s="388"/>
      <c r="AB97" s="388"/>
      <c r="AC97" s="388"/>
      <c r="AD97" s="388"/>
      <c r="AE97" s="388"/>
      <c r="AF97" s="388"/>
    </row>
    <row r="98" spans="1:32" x14ac:dyDescent="0.25">
      <c r="A98" s="327"/>
      <c r="B98" s="328"/>
      <c r="C98" s="328"/>
      <c r="D98" s="328"/>
      <c r="E98" s="328"/>
      <c r="F98" s="328"/>
      <c r="G98" s="328"/>
      <c r="H98" s="328"/>
      <c r="I98" s="328"/>
      <c r="J98" s="328"/>
      <c r="K98" s="329"/>
      <c r="S98" s="388"/>
      <c r="T98" s="388"/>
      <c r="U98" s="388"/>
      <c r="V98" s="388"/>
      <c r="W98" s="388"/>
      <c r="X98" s="388"/>
      <c r="Y98" s="388"/>
      <c r="Z98" s="388"/>
      <c r="AA98" s="388"/>
      <c r="AB98" s="388"/>
      <c r="AC98" s="388"/>
      <c r="AD98" s="388"/>
      <c r="AE98" s="388"/>
      <c r="AF98" s="388"/>
    </row>
    <row r="99" spans="1:32" x14ac:dyDescent="0.25">
      <c r="A99" s="330"/>
      <c r="B99" s="331"/>
      <c r="C99" s="331"/>
      <c r="D99" s="331"/>
      <c r="E99" s="331"/>
      <c r="F99" s="331"/>
      <c r="G99" s="331"/>
      <c r="H99" s="331"/>
      <c r="I99" s="331"/>
      <c r="J99" s="331"/>
      <c r="K99" s="332"/>
      <c r="S99" s="388"/>
      <c r="T99" s="388"/>
      <c r="U99" s="388"/>
      <c r="V99" s="388"/>
      <c r="W99" s="388"/>
      <c r="X99" s="388"/>
      <c r="Y99" s="388"/>
      <c r="Z99" s="388"/>
      <c r="AA99" s="388"/>
      <c r="AB99" s="388"/>
      <c r="AC99" s="388"/>
      <c r="AD99" s="388"/>
      <c r="AE99" s="388"/>
      <c r="AF99" s="388"/>
    </row>
    <row r="100" spans="1:32" x14ac:dyDescent="0.25">
      <c r="A100" s="300"/>
      <c r="B100" s="300"/>
      <c r="C100" s="300"/>
      <c r="D100" s="300"/>
      <c r="E100" s="300"/>
      <c r="F100" s="301"/>
      <c r="G100" s="300"/>
      <c r="H100" s="300"/>
      <c r="I100" s="300"/>
    </row>
    <row r="101" spans="1:32" x14ac:dyDescent="0.25">
      <c r="A101" s="303"/>
      <c r="B101" s="303"/>
      <c r="F101" s="304"/>
    </row>
    <row r="102" spans="1:32" x14ac:dyDescent="0.25">
      <c r="A102" s="303"/>
      <c r="B102" s="303"/>
      <c r="F102" s="304"/>
    </row>
    <row r="103" spans="1:32" x14ac:dyDescent="0.25">
      <c r="A103" s="305"/>
      <c r="B103" s="305"/>
      <c r="C103" s="306"/>
      <c r="D103" s="306"/>
      <c r="E103" s="306"/>
      <c r="F103" s="306"/>
      <c r="G103" s="306"/>
      <c r="H103" s="306"/>
      <c r="I103" s="306"/>
    </row>
    <row r="104" spans="1:32" x14ac:dyDescent="0.25">
      <c r="A104" s="300"/>
      <c r="B104" s="300"/>
      <c r="C104" s="300"/>
      <c r="D104" s="300"/>
      <c r="E104" s="300"/>
      <c r="F104" s="301"/>
      <c r="G104" s="300"/>
      <c r="H104" s="300"/>
      <c r="I104" s="300"/>
    </row>
    <row r="105" spans="1:32" x14ac:dyDescent="0.25">
      <c r="A105" s="303"/>
      <c r="B105" s="303"/>
      <c r="F105" s="304"/>
    </row>
    <row r="106" spans="1:32" x14ac:dyDescent="0.25">
      <c r="A106" s="303"/>
      <c r="B106" s="303"/>
      <c r="F106" s="304"/>
    </row>
    <row r="107" spans="1:32" x14ac:dyDescent="0.25">
      <c r="A107" s="305"/>
      <c r="B107" s="305"/>
      <c r="C107" s="306"/>
      <c r="D107" s="306"/>
      <c r="E107" s="306"/>
      <c r="F107" s="306"/>
      <c r="G107" s="306"/>
      <c r="H107" s="306"/>
      <c r="I107" s="306"/>
    </row>
    <row r="108" spans="1:32" x14ac:dyDescent="0.25">
      <c r="A108" s="307"/>
      <c r="B108" s="307"/>
      <c r="C108" s="308"/>
      <c r="D108" s="308"/>
      <c r="E108" s="308"/>
      <c r="F108" s="308"/>
      <c r="G108" s="308"/>
      <c r="H108" s="308"/>
      <c r="I108" s="308"/>
    </row>
    <row r="109" spans="1:32" x14ac:dyDescent="0.25">
      <c r="A109" s="307"/>
      <c r="B109" s="307"/>
      <c r="C109" s="308"/>
      <c r="D109" s="308"/>
      <c r="E109" s="308"/>
      <c r="F109" s="308"/>
      <c r="G109" s="308"/>
      <c r="H109" s="308"/>
      <c r="I109" s="308"/>
    </row>
    <row r="110" spans="1:32" x14ac:dyDescent="0.25">
      <c r="A110" s="307"/>
      <c r="B110" s="307"/>
      <c r="C110" s="308"/>
      <c r="D110" s="308"/>
      <c r="E110" s="308"/>
      <c r="F110" s="308"/>
      <c r="G110" s="308"/>
      <c r="H110" s="308"/>
      <c r="I110" s="308"/>
    </row>
    <row r="111" spans="1:32" x14ac:dyDescent="0.25">
      <c r="A111" s="307"/>
      <c r="B111" s="307"/>
      <c r="C111" s="308"/>
      <c r="D111" s="308"/>
      <c r="E111" s="308"/>
      <c r="F111" s="308"/>
      <c r="G111" s="308"/>
      <c r="H111" s="308"/>
      <c r="I111" s="308"/>
    </row>
  </sheetData>
  <sheetProtection algorithmName="SHA-512" hashValue="TAchqkcsZSVhv8EZv3kyV3EreVZyWwrMQAZszDBBmE9bix7lLOkh8XP5D0zMtPzw8uhhIJjyng4gtArMjq+Paw==" saltValue="3hTd4uPjcJadf9Ko/Ni36A==" spinCount="100000" sheet="1" objects="1" scenarios="1" selectLockedCells="1"/>
  <protectedRanges>
    <protectedRange sqref="F6:F7 H6:H7 D4 G5 I5 C5:D5" name="Property Detail"/>
    <protectedRange sqref="F19" name="Soil Type"/>
  </protectedRanges>
  <mergeCells count="59">
    <mergeCell ref="S96:AF99"/>
    <mergeCell ref="D82:E82"/>
    <mergeCell ref="M12:Q12"/>
    <mergeCell ref="A15:F15"/>
    <mergeCell ref="A16:F16"/>
    <mergeCell ref="A35:J35"/>
    <mergeCell ref="L17:Q18"/>
    <mergeCell ref="H25:J26"/>
    <mergeCell ref="H27:J28"/>
    <mergeCell ref="H29:J30"/>
    <mergeCell ref="L16:Q16"/>
    <mergeCell ref="A28:B28"/>
    <mergeCell ref="J45:J46"/>
    <mergeCell ref="D45:D46"/>
    <mergeCell ref="E45:E46"/>
    <mergeCell ref="F45:F46"/>
    <mergeCell ref="M10:Q10"/>
    <mergeCell ref="M11:Q11"/>
    <mergeCell ref="L13:Q13"/>
    <mergeCell ref="L14:Q14"/>
    <mergeCell ref="L15:Q15"/>
    <mergeCell ref="A1:AF1"/>
    <mergeCell ref="A2:J2"/>
    <mergeCell ref="A3:J3"/>
    <mergeCell ref="A71:J71"/>
    <mergeCell ref="A17:J17"/>
    <mergeCell ref="A23:J23"/>
    <mergeCell ref="A6:C6"/>
    <mergeCell ref="A7:C7"/>
    <mergeCell ref="D7:E7"/>
    <mergeCell ref="A52:F52"/>
    <mergeCell ref="C63:C64"/>
    <mergeCell ref="A43:J43"/>
    <mergeCell ref="H45:H46"/>
    <mergeCell ref="I45:I46"/>
    <mergeCell ref="H53:J53"/>
    <mergeCell ref="A53:G53"/>
    <mergeCell ref="G45:G46"/>
    <mergeCell ref="A96:K99"/>
    <mergeCell ref="D4:F4"/>
    <mergeCell ref="AV45:AV46"/>
    <mergeCell ref="AX45:AX46"/>
    <mergeCell ref="H91:I91"/>
    <mergeCell ref="A80:D80"/>
    <mergeCell ref="A78:J78"/>
    <mergeCell ref="A89:J89"/>
    <mergeCell ref="A81:C81"/>
    <mergeCell ref="AU45:AU46"/>
    <mergeCell ref="L2:Q6"/>
    <mergeCell ref="L7:Q7"/>
    <mergeCell ref="M8:Q8"/>
    <mergeCell ref="M9:Q9"/>
    <mergeCell ref="C45:C46"/>
    <mergeCell ref="BC45:BC46"/>
    <mergeCell ref="AW45:AW46"/>
    <mergeCell ref="AY45:AY46"/>
    <mergeCell ref="AZ45:AZ46"/>
    <mergeCell ref="BA45:BA46"/>
    <mergeCell ref="BB45:BB46"/>
  </mergeCells>
  <phoneticPr fontId="2" type="noConversion"/>
  <conditionalFormatting sqref="C63:C64">
    <cfRule type="expression" dxfId="11" priority="10">
      <formula>$C$63="OFF"</formula>
    </cfRule>
  </conditionalFormatting>
  <conditionalFormatting sqref="C47:F49 C56:F58">
    <cfRule type="expression" dxfId="10" priority="47">
      <formula>$C47="OFF"</formula>
    </cfRule>
  </conditionalFormatting>
  <conditionalFormatting sqref="D47:E47 I48:K49">
    <cfRule type="expression" dxfId="9" priority="38">
      <formula>C47="Off"</formula>
    </cfRule>
  </conditionalFormatting>
  <conditionalFormatting sqref="F76">
    <cfRule type="cellIs" dxfId="8" priority="8" operator="greaterThan">
      <formula>$F$82</formula>
    </cfRule>
    <cfRule type="cellIs" dxfId="7" priority="9" operator="lessThanOrEqual">
      <formula>$F$82</formula>
    </cfRule>
  </conditionalFormatting>
  <conditionalFormatting sqref="F82">
    <cfRule type="cellIs" dxfId="6" priority="1" operator="greaterThan">
      <formula>$F$76</formula>
    </cfRule>
    <cfRule type="cellIs" dxfId="5" priority="2" operator="lessThanOrEqual">
      <formula>$F$76</formula>
    </cfRule>
  </conditionalFormatting>
  <conditionalFormatting sqref="F91">
    <cfRule type="expression" dxfId="4" priority="4">
      <formula>IF(OR(AND(F25=2, F92&gt;=I92), AND(F25=20, F92&gt;=I93), AND(F25=100, F92&gt;=I94)), TRUE, FALSE)</formula>
    </cfRule>
    <cfRule type="expression" dxfId="3" priority="5">
      <formula>IF(OR(AND(F25=2, F92&lt;I92), AND(F25=20, F92&lt;I93), AND(F25=100, F92&lt;I94)), TRUE, FALSE)</formula>
    </cfRule>
  </conditionalFormatting>
  <conditionalFormatting sqref="F92">
    <cfRule type="expression" dxfId="2" priority="3">
      <formula>IF(OR(AND(F25=2, F92&gt;=I92), AND(F25=20, F92&gt;=I93), AND(F25=100, F92&gt;=I94)), TRUE, FALSE)</formula>
    </cfRule>
    <cfRule type="expression" dxfId="1" priority="6">
      <formula>IF(OR(AND(F25=2, F92&lt;I92), AND(F25=20, F92&lt;I93), AND(F25=100, F92&lt;I94)), TRUE, FALSE)</formula>
    </cfRule>
  </conditionalFormatting>
  <conditionalFormatting sqref="H47:K47 F47:G49">
    <cfRule type="expression" dxfId="0" priority="45">
      <formula>#REF!="Off"</formula>
    </cfRule>
  </conditionalFormatting>
  <dataValidations count="1">
    <dataValidation type="list" allowBlank="1" showInputMessage="1" showErrorMessage="1" sqref="F25" xr:uid="{5AF272AB-6186-4BAB-ACF3-CD3B283A68EA}">
      <formula1>"20,100"</formula1>
    </dataValidation>
  </dataValidations>
  <pageMargins left="0.7" right="0.7" top="0.75" bottom="0.75" header="0.3" footer="0.3"/>
  <pageSetup paperSize="9" scale="41" orientation="portrait"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D3849731-251A-42F7-BF94-6F45E63853B6}">
          <x14:formula1>
            <xm:f>'Design Parameters'!$A$2:$A$6</xm:f>
          </x14:formula1>
          <xm:sqref>F19</xm:sqref>
        </x14:dataValidation>
        <x14:dataValidation type="list" allowBlank="1" showInputMessage="1" showErrorMessage="1" xr:uid="{7DF78604-5390-499B-8AC5-490FA1F9A7E3}">
          <x14:formula1>
            <xm:f>'Design Parameters'!$A$16:$A$17</xm:f>
          </x14:formula1>
          <xm:sqref>F12:F14</xm:sqref>
        </x14:dataValidation>
        <x14:dataValidation type="list" allowBlank="1" showDropDown="1" showInputMessage="1" showErrorMessage="1" xr:uid="{1EA9603D-C9FD-47CB-9FAB-16C956301671}">
          <x14:formula1>
            <xm:f>'Design Parameters'!$A$21:$A$23</xm:f>
          </x14:formula1>
          <xm:sqref>F26</xm:sqref>
        </x14:dataValidation>
        <x14:dataValidation type="list" allowBlank="1" showInputMessage="1" showErrorMessage="1" xr:uid="{DFFC2C75-E09C-4FAA-8E4E-5FE466A08259}">
          <x14:formula1>
            <xm:f>'Design Parameters'!$A$75:$A$81</xm:f>
          </x14:formula1>
          <xm:sqref>D47:D49</xm:sqref>
        </x14:dataValidation>
        <x14:dataValidation type="list" allowBlank="1" showInputMessage="1" showErrorMessage="1" xr:uid="{95A60BEC-DAB5-4604-AD56-E05E65A60CE1}">
          <x14:formula1>
            <xm:f>'Design Parameters'!$B$75:$B$81</xm:f>
          </x14:formula1>
          <xm:sqref>E47:E49</xm:sqref>
        </x14:dataValidation>
        <x14:dataValidation type="list" allowBlank="1" showInputMessage="1" showErrorMessage="1" xr:uid="{02892649-9F3E-4FC8-8B77-99BF3735390D}">
          <x14:formula1>
            <xm:f>'Design Parameters'!$D$75:$D$76</xm:f>
          </x14:formula1>
          <xm:sqref>C47:C49 C56:C58</xm:sqref>
        </x14:dataValidation>
        <x14:dataValidation type="list" allowBlank="1" showInputMessage="1" showErrorMessage="1" xr:uid="{D92E9F12-70CD-4D78-8ED1-C7587625F99D}">
          <x14:formula1>
            <xm:f>'Design Parameters'!$A$88:$A$91</xm:f>
          </x14:formula1>
          <xm:sqref>D56:D58</xm:sqref>
        </x14:dataValidation>
        <x14:dataValidation type="list" allowBlank="1" showInputMessage="1" showErrorMessage="1" xr:uid="{EAB12C62-09D4-4BCF-8E38-90F8E64C0ABE}">
          <x14:formula1>
            <xm:f>'Design Parameters'!$B$88:$B$93</xm:f>
          </x14:formula1>
          <xm:sqref>F56:F58</xm:sqref>
        </x14:dataValidation>
        <x14:dataValidation type="list" allowBlank="1" showInputMessage="1" showErrorMessage="1" xr:uid="{EF664B72-B454-4D56-8D5B-4D7AEB89AC83}">
          <x14:formula1>
            <xm:f>'Design Parameters'!$A$96:$A$97</xm:f>
          </x14:formula1>
          <xm:sqref>D64:E64</xm:sqref>
        </x14:dataValidation>
        <x14:dataValidation type="list" allowBlank="1" showInputMessage="1" showErrorMessage="1" xr:uid="{6E48B23C-1D1C-4CB7-94F4-3EB37DC839D6}">
          <x14:formula1>
            <xm:f>'Design Parameters'!$B$96:$B$101</xm:f>
          </x14:formula1>
          <xm:sqref>F64</xm:sqref>
        </x14:dataValidation>
        <x14:dataValidation type="list" allowBlank="1" showInputMessage="1" showErrorMessage="1" xr:uid="{B285B14F-6064-4CAB-8BB8-49EE34B40FE0}">
          <x14:formula1>
            <xm:f>'Design Parameters'!$C$104:$C$107</xm:f>
          </x14:formula1>
          <xm:sqref>BB47:BB50</xm:sqref>
        </x14:dataValidation>
        <x14:dataValidation type="list" allowBlank="1" showInputMessage="1" showErrorMessage="1" xr:uid="{FBCA5C9D-6A33-43D6-8D2F-0708DE957779}">
          <x14:formula1>
            <xm:f>'Design Parameters'!$C$75:$C$80</xm:f>
          </x14:formula1>
          <xm:sqref>F47:F49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37FDD-74E7-4BF8-9A84-66FDDBEB3F42}">
  <sheetPr codeName="Sheet3"/>
  <dimension ref="A1:V74"/>
  <sheetViews>
    <sheetView topLeftCell="A3" zoomScale="85" zoomScaleNormal="85" workbookViewId="0">
      <selection activeCell="G22" sqref="G22"/>
    </sheetView>
  </sheetViews>
  <sheetFormatPr defaultColWidth="8.85546875" defaultRowHeight="15" x14ac:dyDescent="0.25"/>
  <cols>
    <col min="2" max="2" width="10.5703125" bestFit="1" customWidth="1"/>
    <col min="4" max="4" width="9.140625" customWidth="1"/>
    <col min="14" max="14" width="12.42578125" bestFit="1" customWidth="1"/>
    <col min="15" max="15" width="14.140625" bestFit="1" customWidth="1"/>
    <col min="16" max="16" width="7.140625" bestFit="1" customWidth="1"/>
    <col min="17" max="17" width="4.7109375" bestFit="1" customWidth="1"/>
    <col min="18" max="18" width="7.140625" bestFit="1" customWidth="1"/>
    <col min="19" max="22" width="7.7109375" bestFit="1" customWidth="1"/>
  </cols>
  <sheetData>
    <row r="1" spans="1:22" x14ac:dyDescent="0.25">
      <c r="A1" s="87" t="s">
        <v>131</v>
      </c>
    </row>
    <row r="2" spans="1:22" ht="26.25" x14ac:dyDescent="0.4">
      <c r="A2" t="s">
        <v>132</v>
      </c>
      <c r="B2" t="str">
        <f>'Design calculator'!D$4</f>
        <v>Please enter address</v>
      </c>
      <c r="O2" s="88" t="s">
        <v>133</v>
      </c>
    </row>
    <row r="3" spans="1:22" ht="15.75" thickBot="1" x14ac:dyDescent="0.3">
      <c r="A3" t="s">
        <v>134</v>
      </c>
      <c r="B3" s="89">
        <v>-31.940850000000001</v>
      </c>
    </row>
    <row r="4" spans="1:22" x14ac:dyDescent="0.25">
      <c r="A4" t="s">
        <v>135</v>
      </c>
      <c r="B4" s="89">
        <v>115.87151</v>
      </c>
      <c r="O4" s="90"/>
      <c r="P4" s="91"/>
      <c r="Q4" s="91"/>
      <c r="R4" s="91">
        <v>5</v>
      </c>
      <c r="S4" s="91">
        <v>10</v>
      </c>
      <c r="T4" s="91">
        <v>20</v>
      </c>
      <c r="U4" s="91">
        <v>50</v>
      </c>
      <c r="V4" s="92">
        <v>100</v>
      </c>
    </row>
    <row r="5" spans="1:22" x14ac:dyDescent="0.25">
      <c r="B5" s="89"/>
      <c r="O5" s="93" t="s">
        <v>136</v>
      </c>
      <c r="P5" s="94">
        <v>0.63200000000000001</v>
      </c>
      <c r="Q5" s="95">
        <v>0.5</v>
      </c>
      <c r="R5" s="95">
        <v>0.2</v>
      </c>
      <c r="S5" s="95">
        <v>0.1</v>
      </c>
      <c r="T5" s="95">
        <v>0.05</v>
      </c>
      <c r="U5" s="95">
        <v>0.02</v>
      </c>
      <c r="V5" s="96">
        <v>0.01</v>
      </c>
    </row>
    <row r="6" spans="1:22" x14ac:dyDescent="0.25">
      <c r="A6" s="87" t="s">
        <v>137</v>
      </c>
      <c r="O6" s="74">
        <v>5</v>
      </c>
      <c r="P6" s="76"/>
      <c r="Q6" s="76"/>
      <c r="R6" s="77">
        <f>E15</f>
        <v>96.3</v>
      </c>
      <c r="S6" s="77">
        <f>F15</f>
        <v>113</v>
      </c>
      <c r="T6" s="77">
        <f>G15</f>
        <v>129</v>
      </c>
      <c r="U6" s="77">
        <f>H15</f>
        <v>153</v>
      </c>
      <c r="V6" s="78">
        <f>I15</f>
        <v>172</v>
      </c>
    </row>
    <row r="7" spans="1:22" x14ac:dyDescent="0.25">
      <c r="A7" s="97" t="s">
        <v>138</v>
      </c>
      <c r="O7" s="74">
        <v>5.5</v>
      </c>
      <c r="P7" s="76"/>
      <c r="Q7" s="76"/>
      <c r="R7" s="77">
        <f t="shared" ref="R7:R15" si="0">R6-((R$6-R$16)/10)</f>
        <v>93.759999999999991</v>
      </c>
      <c r="S7" s="77">
        <f t="shared" ref="S7:S15" si="1">S6-((S$6-S$16)/10)</f>
        <v>110</v>
      </c>
      <c r="T7" s="77">
        <f t="shared" ref="T7:T15" si="2">T6-((T$6-T$16)/10)</f>
        <v>125.65</v>
      </c>
      <c r="U7" s="77">
        <f t="shared" ref="U7:U15" si="3">U6-((U$6-U$16)/10)</f>
        <v>149</v>
      </c>
      <c r="V7" s="78">
        <f t="shared" ref="V7:V15" si="4">V6-((V$6-V$16)/10)</f>
        <v>167.5</v>
      </c>
    </row>
    <row r="8" spans="1:22" x14ac:dyDescent="0.25">
      <c r="B8" s="415" t="s">
        <v>139</v>
      </c>
      <c r="C8" s="415"/>
      <c r="D8" s="415"/>
      <c r="E8" s="415"/>
      <c r="F8" s="415"/>
      <c r="G8" s="415"/>
      <c r="H8" s="415"/>
      <c r="I8" s="415"/>
      <c r="O8" s="74">
        <v>6</v>
      </c>
      <c r="P8" s="76"/>
      <c r="Q8" s="76"/>
      <c r="R8" s="77">
        <f t="shared" si="0"/>
        <v>91.22</v>
      </c>
      <c r="S8" s="77">
        <f t="shared" si="1"/>
        <v>107</v>
      </c>
      <c r="T8" s="77">
        <f t="shared" si="2"/>
        <v>122.30000000000001</v>
      </c>
      <c r="U8" s="77">
        <f t="shared" si="3"/>
        <v>145</v>
      </c>
      <c r="V8" s="78">
        <f t="shared" si="4"/>
        <v>163</v>
      </c>
    </row>
    <row r="9" spans="1:22" x14ac:dyDescent="0.25">
      <c r="B9" t="s">
        <v>140</v>
      </c>
      <c r="C9">
        <v>1.5</v>
      </c>
      <c r="D9">
        <v>2</v>
      </c>
      <c r="E9">
        <v>5</v>
      </c>
      <c r="F9">
        <v>10</v>
      </c>
      <c r="G9">
        <v>20</v>
      </c>
      <c r="H9">
        <v>50</v>
      </c>
      <c r="I9">
        <v>100</v>
      </c>
      <c r="M9" s="87"/>
      <c r="O9" s="74">
        <v>6.5</v>
      </c>
      <c r="P9" s="76"/>
      <c r="Q9" s="76"/>
      <c r="R9" s="77">
        <f t="shared" si="0"/>
        <v>88.68</v>
      </c>
      <c r="S9" s="77">
        <f t="shared" si="1"/>
        <v>104</v>
      </c>
      <c r="T9" s="77">
        <f t="shared" si="2"/>
        <v>118.95000000000002</v>
      </c>
      <c r="U9" s="77">
        <f t="shared" si="3"/>
        <v>141</v>
      </c>
      <c r="V9" s="78">
        <f t="shared" si="4"/>
        <v>158.5</v>
      </c>
    </row>
    <row r="10" spans="1:22" ht="15.75" thickBot="1" x14ac:dyDescent="0.3">
      <c r="B10" s="98" t="s">
        <v>141</v>
      </c>
      <c r="C10" s="99">
        <v>0.63200000000000001</v>
      </c>
      <c r="D10" s="100">
        <v>0.5</v>
      </c>
      <c r="E10" s="100">
        <v>0.2</v>
      </c>
      <c r="F10" s="100">
        <v>0.1</v>
      </c>
      <c r="G10" s="100">
        <v>0.05</v>
      </c>
      <c r="H10" s="100">
        <v>0.02</v>
      </c>
      <c r="I10" s="100">
        <v>0.01</v>
      </c>
      <c r="J10" s="101"/>
      <c r="O10" s="74">
        <v>7</v>
      </c>
      <c r="P10" s="76"/>
      <c r="Q10" s="76"/>
      <c r="R10" s="77">
        <f t="shared" si="0"/>
        <v>86.140000000000015</v>
      </c>
      <c r="S10" s="77">
        <f t="shared" si="1"/>
        <v>101</v>
      </c>
      <c r="T10" s="77">
        <f t="shared" si="2"/>
        <v>115.60000000000002</v>
      </c>
      <c r="U10" s="77">
        <f t="shared" si="3"/>
        <v>137</v>
      </c>
      <c r="V10" s="78">
        <f t="shared" si="4"/>
        <v>154</v>
      </c>
    </row>
    <row r="11" spans="1:22" ht="15.75" thickTop="1" x14ac:dyDescent="0.25">
      <c r="A11">
        <v>1</v>
      </c>
      <c r="B11" s="86" t="s">
        <v>142</v>
      </c>
      <c r="C11" s="103">
        <v>103</v>
      </c>
      <c r="D11" s="104">
        <v>114</v>
      </c>
      <c r="E11" s="104">
        <v>149</v>
      </c>
      <c r="F11" s="104">
        <v>174</v>
      </c>
      <c r="G11" s="104">
        <v>200</v>
      </c>
      <c r="H11" s="104">
        <v>236</v>
      </c>
      <c r="I11" s="105">
        <v>265</v>
      </c>
      <c r="J11" s="84"/>
      <c r="O11" s="74">
        <v>7.5</v>
      </c>
      <c r="P11" s="76"/>
      <c r="Q11" s="76"/>
      <c r="R11" s="77">
        <f t="shared" si="0"/>
        <v>83.600000000000023</v>
      </c>
      <c r="S11" s="77">
        <f t="shared" si="1"/>
        <v>98</v>
      </c>
      <c r="T11" s="77">
        <f t="shared" si="2"/>
        <v>112.25000000000003</v>
      </c>
      <c r="U11" s="77">
        <f t="shared" si="3"/>
        <v>133</v>
      </c>
      <c r="V11" s="78">
        <f t="shared" si="4"/>
        <v>149.5</v>
      </c>
    </row>
    <row r="12" spans="1:22" x14ac:dyDescent="0.25">
      <c r="A12">
        <v>2</v>
      </c>
      <c r="B12" s="86" t="s">
        <v>143</v>
      </c>
      <c r="C12" s="106">
        <v>90</v>
      </c>
      <c r="D12" s="102">
        <v>98.7</v>
      </c>
      <c r="E12" s="102">
        <v>127</v>
      </c>
      <c r="F12" s="102">
        <v>148</v>
      </c>
      <c r="G12" s="102">
        <v>169</v>
      </c>
      <c r="H12" s="102">
        <v>199</v>
      </c>
      <c r="I12" s="107">
        <v>223</v>
      </c>
      <c r="J12" s="79"/>
      <c r="O12" s="74">
        <v>8</v>
      </c>
      <c r="P12" s="76"/>
      <c r="Q12" s="76"/>
      <c r="R12" s="77">
        <f t="shared" si="0"/>
        <v>81.060000000000031</v>
      </c>
      <c r="S12" s="77">
        <f t="shared" si="1"/>
        <v>95</v>
      </c>
      <c r="T12" s="77">
        <f t="shared" si="2"/>
        <v>108.90000000000003</v>
      </c>
      <c r="U12" s="77">
        <f t="shared" si="3"/>
        <v>129</v>
      </c>
      <c r="V12" s="78">
        <f t="shared" si="4"/>
        <v>145</v>
      </c>
    </row>
    <row r="13" spans="1:22" x14ac:dyDescent="0.25">
      <c r="A13">
        <v>3</v>
      </c>
      <c r="B13" s="86" t="s">
        <v>144</v>
      </c>
      <c r="C13" s="106">
        <v>80.400000000000006</v>
      </c>
      <c r="D13" s="102">
        <v>88.3</v>
      </c>
      <c r="E13" s="102">
        <v>114</v>
      </c>
      <c r="F13" s="102">
        <v>133</v>
      </c>
      <c r="G13" s="102">
        <v>152</v>
      </c>
      <c r="H13" s="102">
        <v>180</v>
      </c>
      <c r="I13" s="107">
        <v>202</v>
      </c>
      <c r="J13" s="73"/>
      <c r="O13" s="74">
        <v>8.5</v>
      </c>
      <c r="P13" s="76"/>
      <c r="Q13" s="76"/>
      <c r="R13" s="77">
        <f t="shared" si="0"/>
        <v>78.520000000000039</v>
      </c>
      <c r="S13" s="77">
        <f t="shared" si="1"/>
        <v>92</v>
      </c>
      <c r="T13" s="77">
        <f t="shared" si="2"/>
        <v>105.55000000000004</v>
      </c>
      <c r="U13" s="77">
        <f t="shared" si="3"/>
        <v>125</v>
      </c>
      <c r="V13" s="78">
        <f t="shared" si="4"/>
        <v>140.5</v>
      </c>
    </row>
    <row r="14" spans="1:22" x14ac:dyDescent="0.25">
      <c r="A14">
        <v>4</v>
      </c>
      <c r="B14" s="86" t="s">
        <v>145</v>
      </c>
      <c r="C14" s="106">
        <v>73</v>
      </c>
      <c r="D14" s="102">
        <v>80.3</v>
      </c>
      <c r="E14" s="102">
        <v>104</v>
      </c>
      <c r="F14" s="102">
        <v>122</v>
      </c>
      <c r="G14" s="102">
        <v>140</v>
      </c>
      <c r="H14" s="102">
        <v>165</v>
      </c>
      <c r="I14" s="107">
        <v>186</v>
      </c>
      <c r="J14" s="73"/>
      <c r="O14" s="74">
        <v>9</v>
      </c>
      <c r="P14" s="76"/>
      <c r="Q14" s="76"/>
      <c r="R14" s="77">
        <f t="shared" si="0"/>
        <v>75.980000000000047</v>
      </c>
      <c r="S14" s="77">
        <f t="shared" si="1"/>
        <v>89</v>
      </c>
      <c r="T14" s="77">
        <f t="shared" si="2"/>
        <v>102.20000000000005</v>
      </c>
      <c r="U14" s="77">
        <f t="shared" si="3"/>
        <v>121</v>
      </c>
      <c r="V14" s="78">
        <f t="shared" si="4"/>
        <v>136</v>
      </c>
    </row>
    <row r="15" spans="1:22" x14ac:dyDescent="0.25">
      <c r="A15">
        <v>5</v>
      </c>
      <c r="B15" s="86" t="s">
        <v>146</v>
      </c>
      <c r="C15" s="106">
        <v>67</v>
      </c>
      <c r="D15" s="102">
        <v>73.8</v>
      </c>
      <c r="E15" s="102">
        <v>96.3</v>
      </c>
      <c r="F15" s="102">
        <v>113</v>
      </c>
      <c r="G15" s="102">
        <v>129</v>
      </c>
      <c r="H15" s="102">
        <v>153</v>
      </c>
      <c r="I15" s="107">
        <v>172</v>
      </c>
      <c r="J15" s="73"/>
      <c r="O15" s="74">
        <v>9.5</v>
      </c>
      <c r="P15" s="76"/>
      <c r="Q15" s="76"/>
      <c r="R15" s="77">
        <f t="shared" si="0"/>
        <v>73.440000000000055</v>
      </c>
      <c r="S15" s="77">
        <f t="shared" si="1"/>
        <v>86</v>
      </c>
      <c r="T15" s="77">
        <f t="shared" si="2"/>
        <v>98.850000000000051</v>
      </c>
      <c r="U15" s="77">
        <f t="shared" si="3"/>
        <v>117</v>
      </c>
      <c r="V15" s="78">
        <f t="shared" si="4"/>
        <v>131.5</v>
      </c>
    </row>
    <row r="16" spans="1:22" x14ac:dyDescent="0.25">
      <c r="A16">
        <v>10</v>
      </c>
      <c r="B16" s="86" t="s">
        <v>147</v>
      </c>
      <c r="C16" s="106">
        <v>48.8</v>
      </c>
      <c r="D16" s="102">
        <v>53.9</v>
      </c>
      <c r="E16" s="102">
        <v>70.900000000000006</v>
      </c>
      <c r="F16" s="102">
        <v>83</v>
      </c>
      <c r="G16" s="102">
        <v>95.5</v>
      </c>
      <c r="H16" s="102">
        <v>113</v>
      </c>
      <c r="I16" s="107">
        <v>127</v>
      </c>
      <c r="J16" s="73"/>
      <c r="O16" s="74">
        <v>10</v>
      </c>
      <c r="P16" s="76"/>
      <c r="Q16" s="76"/>
      <c r="R16" s="77">
        <f>E16</f>
        <v>70.900000000000006</v>
      </c>
      <c r="S16" s="77">
        <f>F16</f>
        <v>83</v>
      </c>
      <c r="T16" s="77">
        <f>G16</f>
        <v>95.5</v>
      </c>
      <c r="U16" s="77">
        <f>H16</f>
        <v>113</v>
      </c>
      <c r="V16" s="78">
        <f>I16</f>
        <v>127</v>
      </c>
    </row>
    <row r="17" spans="1:22" x14ac:dyDescent="0.25">
      <c r="A17">
        <v>15</v>
      </c>
      <c r="B17" s="86" t="s">
        <v>148</v>
      </c>
      <c r="C17" s="106">
        <v>39.299999999999997</v>
      </c>
      <c r="D17" s="102">
        <v>43.5</v>
      </c>
      <c r="E17" s="102">
        <v>57.1</v>
      </c>
      <c r="F17" s="102">
        <v>66.900000000000006</v>
      </c>
      <c r="G17" s="102">
        <v>76.900000000000006</v>
      </c>
      <c r="H17" s="102">
        <v>90.6</v>
      </c>
      <c r="I17" s="107">
        <v>102</v>
      </c>
      <c r="J17" s="73"/>
      <c r="O17" s="74">
        <v>10.5</v>
      </c>
      <c r="P17" s="76"/>
      <c r="Q17" s="76"/>
      <c r="R17" s="77">
        <f t="shared" ref="R17:R25" si="5">R16-((R$16-R$26)/10)</f>
        <v>69.52000000000001</v>
      </c>
      <c r="S17" s="77">
        <f t="shared" ref="S17:S25" si="6">S16-((S$16-S$26)/10)</f>
        <v>81.39</v>
      </c>
      <c r="T17" s="77">
        <f t="shared" ref="T17:T25" si="7">T16-((T$16-T$26)/10)</f>
        <v>93.64</v>
      </c>
      <c r="U17" s="77">
        <f t="shared" ref="U17:U25" si="8">U16-((U$16-U$26)/10)</f>
        <v>110.76</v>
      </c>
      <c r="V17" s="78">
        <f t="shared" ref="V17:V25" si="9">V16-((V$16-V$26)/10)</f>
        <v>124.5</v>
      </c>
    </row>
    <row r="18" spans="1:22" x14ac:dyDescent="0.25">
      <c r="A18">
        <v>20</v>
      </c>
      <c r="B18" s="86" t="s">
        <v>149</v>
      </c>
      <c r="C18" s="106">
        <v>33.4</v>
      </c>
      <c r="D18" s="102">
        <v>36.9</v>
      </c>
      <c r="E18" s="102">
        <v>48.4</v>
      </c>
      <c r="F18" s="102">
        <v>56.6</v>
      </c>
      <c r="G18" s="102">
        <v>65</v>
      </c>
      <c r="H18" s="102">
        <v>76.599999999999994</v>
      </c>
      <c r="I18" s="107">
        <v>85.9</v>
      </c>
      <c r="J18" s="73"/>
      <c r="O18" s="74">
        <v>11</v>
      </c>
      <c r="P18" s="76"/>
      <c r="Q18" s="76"/>
      <c r="R18" s="77">
        <f t="shared" si="5"/>
        <v>68.140000000000015</v>
      </c>
      <c r="S18" s="77">
        <f t="shared" si="6"/>
        <v>79.78</v>
      </c>
      <c r="T18" s="77">
        <f t="shared" si="7"/>
        <v>91.78</v>
      </c>
      <c r="U18" s="77">
        <f t="shared" si="8"/>
        <v>108.52000000000001</v>
      </c>
      <c r="V18" s="78">
        <f t="shared" si="9"/>
        <v>122</v>
      </c>
    </row>
    <row r="19" spans="1:22" x14ac:dyDescent="0.25">
      <c r="A19">
        <v>25</v>
      </c>
      <c r="B19" s="86" t="s">
        <v>150</v>
      </c>
      <c r="C19" s="106">
        <v>29.3</v>
      </c>
      <c r="D19" s="102">
        <v>32.299999999999997</v>
      </c>
      <c r="E19" s="102">
        <v>42.3</v>
      </c>
      <c r="F19" s="102">
        <v>49.5</v>
      </c>
      <c r="G19" s="102">
        <v>56.8</v>
      </c>
      <c r="H19" s="102">
        <v>66.900000000000006</v>
      </c>
      <c r="I19" s="107">
        <v>75</v>
      </c>
      <c r="J19" s="73"/>
      <c r="O19" s="74">
        <v>11.5</v>
      </c>
      <c r="P19" s="76"/>
      <c r="Q19" s="76"/>
      <c r="R19" s="77">
        <f t="shared" si="5"/>
        <v>66.760000000000019</v>
      </c>
      <c r="S19" s="77">
        <f t="shared" si="6"/>
        <v>78.17</v>
      </c>
      <c r="T19" s="77">
        <f t="shared" si="7"/>
        <v>89.92</v>
      </c>
      <c r="U19" s="77">
        <f t="shared" si="8"/>
        <v>106.28000000000002</v>
      </c>
      <c r="V19" s="78">
        <f t="shared" si="9"/>
        <v>119.5</v>
      </c>
    </row>
    <row r="20" spans="1:22" x14ac:dyDescent="0.25">
      <c r="A20">
        <v>30</v>
      </c>
      <c r="B20" s="86" t="s">
        <v>151</v>
      </c>
      <c r="C20" s="106">
        <v>26.2</v>
      </c>
      <c r="D20" s="102">
        <v>28.9</v>
      </c>
      <c r="E20" s="102">
        <v>37.799999999999997</v>
      </c>
      <c r="F20" s="102">
        <v>44.2</v>
      </c>
      <c r="G20" s="102">
        <v>50.7</v>
      </c>
      <c r="H20" s="102">
        <v>59.7</v>
      </c>
      <c r="I20" s="107">
        <v>67</v>
      </c>
      <c r="J20" s="73"/>
      <c r="O20" s="74">
        <v>12</v>
      </c>
      <c r="P20" s="76"/>
      <c r="Q20" s="76"/>
      <c r="R20" s="77">
        <f t="shared" si="5"/>
        <v>65.380000000000024</v>
      </c>
      <c r="S20" s="77">
        <f t="shared" si="6"/>
        <v>76.56</v>
      </c>
      <c r="T20" s="77">
        <f t="shared" si="7"/>
        <v>88.06</v>
      </c>
      <c r="U20" s="77">
        <f t="shared" si="8"/>
        <v>104.04000000000002</v>
      </c>
      <c r="V20" s="78">
        <f t="shared" si="9"/>
        <v>117</v>
      </c>
    </row>
    <row r="21" spans="1:22" x14ac:dyDescent="0.25">
      <c r="A21">
        <v>45</v>
      </c>
      <c r="B21" s="86" t="s">
        <v>152</v>
      </c>
      <c r="C21" s="106">
        <v>20.399999999999999</v>
      </c>
      <c r="D21" s="102">
        <v>22.5</v>
      </c>
      <c r="E21" s="102">
        <v>29.2</v>
      </c>
      <c r="F21" s="102">
        <v>34.1</v>
      </c>
      <c r="G21" s="102">
        <v>39.200000000000003</v>
      </c>
      <c r="H21" s="102">
        <v>46.2</v>
      </c>
      <c r="I21" s="107">
        <v>52</v>
      </c>
      <c r="J21" s="73"/>
      <c r="O21" s="74">
        <v>12.5</v>
      </c>
      <c r="P21" s="76"/>
      <c r="Q21" s="76"/>
      <c r="R21" s="77">
        <f t="shared" si="5"/>
        <v>64.000000000000028</v>
      </c>
      <c r="S21" s="77">
        <f t="shared" si="6"/>
        <v>74.95</v>
      </c>
      <c r="T21" s="77">
        <f t="shared" si="7"/>
        <v>86.2</v>
      </c>
      <c r="U21" s="77">
        <f t="shared" si="8"/>
        <v>101.80000000000003</v>
      </c>
      <c r="V21" s="78">
        <f t="shared" si="9"/>
        <v>114.5</v>
      </c>
    </row>
    <row r="22" spans="1:22" x14ac:dyDescent="0.25">
      <c r="A22">
        <v>60</v>
      </c>
      <c r="B22" s="86" t="s">
        <v>153</v>
      </c>
      <c r="C22" s="108">
        <v>17</v>
      </c>
      <c r="D22" s="109">
        <v>18.7</v>
      </c>
      <c r="E22" s="109">
        <v>24.3</v>
      </c>
      <c r="F22" s="109">
        <v>28.3</v>
      </c>
      <c r="G22" s="109">
        <v>32.5</v>
      </c>
      <c r="H22" s="109">
        <v>38.5</v>
      </c>
      <c r="I22" s="110">
        <v>43.4</v>
      </c>
      <c r="J22" s="73"/>
      <c r="O22" s="74">
        <v>13</v>
      </c>
      <c r="P22" s="76"/>
      <c r="Q22" s="76"/>
      <c r="R22" s="77">
        <f t="shared" si="5"/>
        <v>62.620000000000026</v>
      </c>
      <c r="S22" s="77">
        <f t="shared" si="6"/>
        <v>73.34</v>
      </c>
      <c r="T22" s="77">
        <f t="shared" si="7"/>
        <v>84.34</v>
      </c>
      <c r="U22" s="77">
        <f t="shared" si="8"/>
        <v>99.560000000000031</v>
      </c>
      <c r="V22" s="78">
        <f t="shared" si="9"/>
        <v>112</v>
      </c>
    </row>
    <row r="23" spans="1:22" x14ac:dyDescent="0.25">
      <c r="A23">
        <v>90</v>
      </c>
      <c r="B23" s="86" t="s">
        <v>154</v>
      </c>
      <c r="C23" s="106">
        <v>13.1</v>
      </c>
      <c r="D23" s="102">
        <v>14.4</v>
      </c>
      <c r="E23" s="102">
        <v>18.600000000000001</v>
      </c>
      <c r="F23" s="102">
        <v>21.8</v>
      </c>
      <c r="G23" s="102">
        <v>25.1</v>
      </c>
      <c r="H23" s="102">
        <v>29.9</v>
      </c>
      <c r="I23" s="107">
        <v>33.9</v>
      </c>
      <c r="J23" s="73"/>
      <c r="O23" s="74">
        <v>13.5</v>
      </c>
      <c r="P23" s="76"/>
      <c r="Q23" s="76"/>
      <c r="R23" s="77">
        <f t="shared" si="5"/>
        <v>61.240000000000023</v>
      </c>
      <c r="S23" s="77">
        <f t="shared" si="6"/>
        <v>71.73</v>
      </c>
      <c r="T23" s="77">
        <f t="shared" si="7"/>
        <v>82.48</v>
      </c>
      <c r="U23" s="77">
        <f t="shared" si="8"/>
        <v>97.320000000000036</v>
      </c>
      <c r="V23" s="78">
        <f t="shared" si="9"/>
        <v>109.5</v>
      </c>
    </row>
    <row r="24" spans="1:22" x14ac:dyDescent="0.25">
      <c r="A24">
        <v>120</v>
      </c>
      <c r="B24" s="86" t="s">
        <v>155</v>
      </c>
      <c r="C24" s="106">
        <v>10.9</v>
      </c>
      <c r="D24" s="102">
        <v>11.9</v>
      </c>
      <c r="E24" s="102">
        <v>15.4</v>
      </c>
      <c r="F24" s="102">
        <v>18.100000000000001</v>
      </c>
      <c r="G24" s="102">
        <v>20.9</v>
      </c>
      <c r="H24" s="102">
        <v>25</v>
      </c>
      <c r="I24" s="107">
        <v>28.5</v>
      </c>
      <c r="J24" s="73"/>
      <c r="O24" s="74">
        <v>14</v>
      </c>
      <c r="P24" s="76"/>
      <c r="Q24" s="76"/>
      <c r="R24" s="77">
        <f t="shared" si="5"/>
        <v>59.860000000000021</v>
      </c>
      <c r="S24" s="77">
        <f t="shared" si="6"/>
        <v>70.12</v>
      </c>
      <c r="T24" s="77">
        <f t="shared" si="7"/>
        <v>80.62</v>
      </c>
      <c r="U24" s="77">
        <f t="shared" si="8"/>
        <v>95.080000000000041</v>
      </c>
      <c r="V24" s="78">
        <f t="shared" si="9"/>
        <v>107</v>
      </c>
    </row>
    <row r="25" spans="1:22" x14ac:dyDescent="0.25">
      <c r="A25">
        <v>180</v>
      </c>
      <c r="B25" s="86" t="s">
        <v>156</v>
      </c>
      <c r="C25" s="106">
        <v>8.3800000000000008</v>
      </c>
      <c r="D25" s="102">
        <v>9.16</v>
      </c>
      <c r="E25" s="102">
        <v>11.9</v>
      </c>
      <c r="F25" s="102">
        <v>14</v>
      </c>
      <c r="G25" s="102">
        <v>16.2</v>
      </c>
      <c r="H25" s="102">
        <v>19.600000000000001</v>
      </c>
      <c r="I25" s="107">
        <v>22.4</v>
      </c>
      <c r="J25" s="73"/>
      <c r="O25" s="74">
        <v>14.5</v>
      </c>
      <c r="P25" s="76"/>
      <c r="Q25" s="76"/>
      <c r="R25" s="77">
        <f t="shared" si="5"/>
        <v>58.480000000000018</v>
      </c>
      <c r="S25" s="77">
        <f t="shared" si="6"/>
        <v>68.510000000000005</v>
      </c>
      <c r="T25" s="77">
        <f t="shared" si="7"/>
        <v>78.760000000000005</v>
      </c>
      <c r="U25" s="77">
        <f t="shared" si="8"/>
        <v>92.840000000000046</v>
      </c>
      <c r="V25" s="78">
        <f t="shared" si="9"/>
        <v>104.5</v>
      </c>
    </row>
    <row r="26" spans="1:22" x14ac:dyDescent="0.25">
      <c r="A26">
        <v>270</v>
      </c>
      <c r="B26" s="86" t="s">
        <v>157</v>
      </c>
      <c r="C26" s="106">
        <v>6.45</v>
      </c>
      <c r="D26" s="102">
        <v>7.04</v>
      </c>
      <c r="E26" s="102">
        <v>9.14</v>
      </c>
      <c r="F26" s="102">
        <v>10.8</v>
      </c>
      <c r="G26" s="102">
        <v>12.6</v>
      </c>
      <c r="H26" s="102">
        <v>15.3</v>
      </c>
      <c r="I26" s="107">
        <v>17.7</v>
      </c>
      <c r="J26" s="73"/>
      <c r="O26" s="74">
        <v>15</v>
      </c>
      <c r="P26" s="76"/>
      <c r="Q26" s="76"/>
      <c r="R26" s="77">
        <f>E17</f>
        <v>57.1</v>
      </c>
      <c r="S26" s="77">
        <f>F17</f>
        <v>66.900000000000006</v>
      </c>
      <c r="T26" s="77">
        <f>G17</f>
        <v>76.900000000000006</v>
      </c>
      <c r="U26" s="77">
        <f>H17</f>
        <v>90.6</v>
      </c>
      <c r="V26" s="78">
        <f>I17</f>
        <v>102</v>
      </c>
    </row>
    <row r="27" spans="1:22" x14ac:dyDescent="0.25">
      <c r="A27">
        <v>360</v>
      </c>
      <c r="B27" s="86" t="s">
        <v>158</v>
      </c>
      <c r="C27" s="106">
        <v>5.35</v>
      </c>
      <c r="D27" s="102">
        <v>5.84</v>
      </c>
      <c r="E27" s="102">
        <v>7.6</v>
      </c>
      <c r="F27" s="102">
        <v>8.99</v>
      </c>
      <c r="G27" s="102">
        <v>10.5</v>
      </c>
      <c r="H27" s="102">
        <v>12.8</v>
      </c>
      <c r="I27" s="107">
        <v>14.9</v>
      </c>
      <c r="J27" s="73"/>
      <c r="O27" s="74">
        <v>15.5</v>
      </c>
      <c r="P27" s="76"/>
      <c r="Q27" s="76"/>
      <c r="R27" s="77">
        <f t="shared" ref="R27:R35" si="10">R26-((R$26-R$36)/10)</f>
        <v>56.230000000000004</v>
      </c>
      <c r="S27" s="77">
        <f t="shared" ref="S27:S35" si="11">S26-((S$26-S$36)/10)</f>
        <v>65.87</v>
      </c>
      <c r="T27" s="77">
        <f t="shared" ref="T27:T35" si="12">T26-((T$26-T$36)/10)</f>
        <v>75.710000000000008</v>
      </c>
      <c r="U27" s="77">
        <f t="shared" ref="U27:U35" si="13">U26-((U$26-U$36)/10)</f>
        <v>89.199999999999989</v>
      </c>
      <c r="V27" s="78">
        <f t="shared" ref="V27:V35" si="14">V26-((V$26-V$36)/10)</f>
        <v>100.39</v>
      </c>
    </row>
    <row r="28" spans="1:22" x14ac:dyDescent="0.25">
      <c r="A28">
        <v>540</v>
      </c>
      <c r="B28" s="86" t="s">
        <v>159</v>
      </c>
      <c r="C28" s="106">
        <v>4.1100000000000003</v>
      </c>
      <c r="D28" s="102">
        <v>4.49</v>
      </c>
      <c r="E28" s="102">
        <v>5.85</v>
      </c>
      <c r="F28" s="102">
        <v>6.94</v>
      </c>
      <c r="G28" s="102">
        <v>8.14</v>
      </c>
      <c r="H28" s="102">
        <v>9.9700000000000006</v>
      </c>
      <c r="I28" s="107">
        <v>11.6</v>
      </c>
      <c r="J28" s="73"/>
      <c r="O28" s="74">
        <v>16</v>
      </c>
      <c r="P28" s="76"/>
      <c r="Q28" s="76"/>
      <c r="R28" s="77">
        <f t="shared" si="10"/>
        <v>55.360000000000007</v>
      </c>
      <c r="S28" s="77">
        <f t="shared" si="11"/>
        <v>64.84</v>
      </c>
      <c r="T28" s="77">
        <f t="shared" si="12"/>
        <v>74.52000000000001</v>
      </c>
      <c r="U28" s="77">
        <f t="shared" si="13"/>
        <v>87.799999999999983</v>
      </c>
      <c r="V28" s="78">
        <f t="shared" si="14"/>
        <v>98.78</v>
      </c>
    </row>
    <row r="29" spans="1:22" x14ac:dyDescent="0.25">
      <c r="A29">
        <v>720</v>
      </c>
      <c r="B29" s="86" t="s">
        <v>160</v>
      </c>
      <c r="C29" s="106">
        <v>3.4</v>
      </c>
      <c r="D29" s="102">
        <v>3.72</v>
      </c>
      <c r="E29" s="102">
        <v>4.8600000000000003</v>
      </c>
      <c r="F29" s="102">
        <v>5.75</v>
      </c>
      <c r="G29" s="102">
        <v>6.74</v>
      </c>
      <c r="H29" s="102">
        <v>8.26</v>
      </c>
      <c r="I29" s="107">
        <v>9.58</v>
      </c>
      <c r="J29" s="73"/>
      <c r="O29" s="74">
        <v>16.5</v>
      </c>
      <c r="P29" s="76"/>
      <c r="Q29" s="76"/>
      <c r="R29" s="77">
        <f t="shared" si="10"/>
        <v>54.490000000000009</v>
      </c>
      <c r="S29" s="77">
        <f t="shared" si="11"/>
        <v>63.81</v>
      </c>
      <c r="T29" s="77">
        <f t="shared" si="12"/>
        <v>73.330000000000013</v>
      </c>
      <c r="U29" s="77">
        <f t="shared" si="13"/>
        <v>86.399999999999977</v>
      </c>
      <c r="V29" s="78">
        <f t="shared" si="14"/>
        <v>97.17</v>
      </c>
    </row>
    <row r="30" spans="1:22" x14ac:dyDescent="0.25">
      <c r="A30">
        <v>1080</v>
      </c>
      <c r="B30" s="86" t="s">
        <v>161</v>
      </c>
      <c r="C30" s="106">
        <v>2.6</v>
      </c>
      <c r="D30" s="102">
        <v>2.85</v>
      </c>
      <c r="E30" s="102">
        <v>3.72</v>
      </c>
      <c r="F30" s="102">
        <v>4.3899999999999997</v>
      </c>
      <c r="G30" s="102">
        <v>5.12</v>
      </c>
      <c r="H30" s="102">
        <v>6.23</v>
      </c>
      <c r="I30" s="107">
        <v>7.2</v>
      </c>
      <c r="J30" s="73"/>
      <c r="O30" s="74">
        <v>17</v>
      </c>
      <c r="P30" s="76"/>
      <c r="Q30" s="76"/>
      <c r="R30" s="77">
        <f t="shared" si="10"/>
        <v>53.620000000000012</v>
      </c>
      <c r="S30" s="77">
        <f t="shared" si="11"/>
        <v>62.78</v>
      </c>
      <c r="T30" s="77">
        <f t="shared" si="12"/>
        <v>72.140000000000015</v>
      </c>
      <c r="U30" s="77">
        <f t="shared" si="13"/>
        <v>84.999999999999972</v>
      </c>
      <c r="V30" s="78">
        <f t="shared" si="14"/>
        <v>95.56</v>
      </c>
    </row>
    <row r="31" spans="1:22" x14ac:dyDescent="0.25">
      <c r="A31">
        <v>1440</v>
      </c>
      <c r="B31" s="86" t="s">
        <v>162</v>
      </c>
      <c r="C31" s="106">
        <v>2.15</v>
      </c>
      <c r="D31" s="102">
        <v>2.35</v>
      </c>
      <c r="E31" s="102">
        <v>3.06</v>
      </c>
      <c r="F31" s="102">
        <v>3.6</v>
      </c>
      <c r="G31" s="102">
        <v>4.17</v>
      </c>
      <c r="H31" s="102">
        <v>5.04</v>
      </c>
      <c r="I31" s="107">
        <v>5.79</v>
      </c>
      <c r="J31" s="73"/>
      <c r="O31" s="74">
        <v>17.5</v>
      </c>
      <c r="P31" s="76"/>
      <c r="Q31" s="76"/>
      <c r="R31" s="77">
        <f t="shared" si="10"/>
        <v>52.750000000000014</v>
      </c>
      <c r="S31" s="77">
        <f t="shared" si="11"/>
        <v>61.75</v>
      </c>
      <c r="T31" s="77">
        <f t="shared" si="12"/>
        <v>70.950000000000017</v>
      </c>
      <c r="U31" s="77">
        <f t="shared" si="13"/>
        <v>83.599999999999966</v>
      </c>
      <c r="V31" s="78">
        <f t="shared" si="14"/>
        <v>93.95</v>
      </c>
    </row>
    <row r="32" spans="1:22" x14ac:dyDescent="0.25">
      <c r="A32">
        <v>1800</v>
      </c>
      <c r="B32" s="86" t="s">
        <v>163</v>
      </c>
      <c r="C32" s="106">
        <v>1.85</v>
      </c>
      <c r="D32" s="102">
        <v>2.0299999999999998</v>
      </c>
      <c r="E32" s="102">
        <v>2.63</v>
      </c>
      <c r="F32" s="102">
        <v>3.07</v>
      </c>
      <c r="G32" s="102">
        <v>3.54</v>
      </c>
      <c r="H32" s="102">
        <v>4.25</v>
      </c>
      <c r="I32" s="107">
        <v>4.8499999999999996</v>
      </c>
      <c r="J32" s="73"/>
      <c r="O32" s="74">
        <v>18</v>
      </c>
      <c r="P32" s="76"/>
      <c r="Q32" s="76"/>
      <c r="R32" s="77">
        <f t="shared" si="10"/>
        <v>51.880000000000017</v>
      </c>
      <c r="S32" s="77">
        <f t="shared" si="11"/>
        <v>60.72</v>
      </c>
      <c r="T32" s="77">
        <f t="shared" si="12"/>
        <v>69.760000000000019</v>
      </c>
      <c r="U32" s="77">
        <f t="shared" si="13"/>
        <v>82.19999999999996</v>
      </c>
      <c r="V32" s="78">
        <f t="shared" si="14"/>
        <v>92.34</v>
      </c>
    </row>
    <row r="33" spans="1:22" x14ac:dyDescent="0.25">
      <c r="A33">
        <v>2160</v>
      </c>
      <c r="B33" s="86" t="s">
        <v>164</v>
      </c>
      <c r="C33" s="106">
        <v>1.63</v>
      </c>
      <c r="D33" s="102">
        <v>1.79</v>
      </c>
      <c r="E33" s="102">
        <v>2.3199999999999998</v>
      </c>
      <c r="F33" s="102">
        <v>2.7</v>
      </c>
      <c r="G33" s="102">
        <v>3.09</v>
      </c>
      <c r="H33" s="102">
        <v>3.68</v>
      </c>
      <c r="I33" s="107">
        <v>4.17</v>
      </c>
      <c r="J33" s="73"/>
      <c r="O33" s="74">
        <v>18.5</v>
      </c>
      <c r="P33" s="76"/>
      <c r="Q33" s="76"/>
      <c r="R33" s="77">
        <f t="shared" si="10"/>
        <v>51.010000000000019</v>
      </c>
      <c r="S33" s="77">
        <f t="shared" si="11"/>
        <v>59.69</v>
      </c>
      <c r="T33" s="77">
        <f t="shared" si="12"/>
        <v>68.570000000000022</v>
      </c>
      <c r="U33" s="77">
        <f t="shared" si="13"/>
        <v>80.799999999999955</v>
      </c>
      <c r="V33" s="78">
        <f t="shared" si="14"/>
        <v>90.73</v>
      </c>
    </row>
    <row r="34" spans="1:22" x14ac:dyDescent="0.25">
      <c r="A34">
        <v>2880</v>
      </c>
      <c r="B34" s="86" t="s">
        <v>165</v>
      </c>
      <c r="C34" s="106">
        <v>1.34</v>
      </c>
      <c r="D34" s="102">
        <v>1.47</v>
      </c>
      <c r="E34" s="102">
        <v>1.89</v>
      </c>
      <c r="F34" s="102">
        <v>2.19</v>
      </c>
      <c r="G34" s="102">
        <v>2.48</v>
      </c>
      <c r="H34" s="102">
        <v>2.92</v>
      </c>
      <c r="I34" s="107">
        <v>3.27</v>
      </c>
      <c r="J34" s="73"/>
      <c r="O34" s="74">
        <v>19</v>
      </c>
      <c r="P34" s="77"/>
      <c r="Q34" s="76"/>
      <c r="R34" s="77">
        <f t="shared" si="10"/>
        <v>50.140000000000022</v>
      </c>
      <c r="S34" s="77">
        <f t="shared" si="11"/>
        <v>58.66</v>
      </c>
      <c r="T34" s="77">
        <f t="shared" si="12"/>
        <v>67.380000000000024</v>
      </c>
      <c r="U34" s="77">
        <f t="shared" si="13"/>
        <v>79.399999999999949</v>
      </c>
      <c r="V34" s="78">
        <f t="shared" si="14"/>
        <v>89.12</v>
      </c>
    </row>
    <row r="35" spans="1:22" x14ac:dyDescent="0.25">
      <c r="A35">
        <v>4320</v>
      </c>
      <c r="B35" s="86" t="s">
        <v>166</v>
      </c>
      <c r="C35" s="106">
        <v>1.02</v>
      </c>
      <c r="D35" s="102">
        <v>1.1200000000000001</v>
      </c>
      <c r="E35" s="102">
        <v>1.43</v>
      </c>
      <c r="F35" s="102">
        <v>1.63</v>
      </c>
      <c r="G35" s="102">
        <v>1.82</v>
      </c>
      <c r="H35" s="102">
        <v>2.1</v>
      </c>
      <c r="I35" s="107">
        <v>2.3199999999999998</v>
      </c>
      <c r="J35" s="73"/>
      <c r="O35" s="74">
        <v>19.5</v>
      </c>
      <c r="P35" s="76"/>
      <c r="Q35" s="76"/>
      <c r="R35" s="77">
        <f t="shared" si="10"/>
        <v>49.270000000000024</v>
      </c>
      <c r="S35" s="77">
        <f t="shared" si="11"/>
        <v>57.629999999999995</v>
      </c>
      <c r="T35" s="77">
        <f t="shared" si="12"/>
        <v>66.190000000000026</v>
      </c>
      <c r="U35" s="77">
        <f t="shared" si="13"/>
        <v>77.999999999999943</v>
      </c>
      <c r="V35" s="78">
        <f t="shared" si="14"/>
        <v>87.51</v>
      </c>
    </row>
    <row r="36" spans="1:22" x14ac:dyDescent="0.25">
      <c r="A36">
        <v>5760</v>
      </c>
      <c r="B36" s="86" t="s">
        <v>167</v>
      </c>
      <c r="C36" s="106">
        <v>0.84699999999999998</v>
      </c>
      <c r="D36" s="102">
        <v>0.92800000000000005</v>
      </c>
      <c r="E36" s="102">
        <v>1.17</v>
      </c>
      <c r="F36" s="102">
        <v>1.33</v>
      </c>
      <c r="G36" s="102">
        <v>1.48</v>
      </c>
      <c r="H36" s="102">
        <v>1.69</v>
      </c>
      <c r="I36" s="107">
        <v>1.85</v>
      </c>
      <c r="J36" s="73"/>
      <c r="O36" s="74">
        <v>20</v>
      </c>
      <c r="P36" s="76"/>
      <c r="Q36" s="76"/>
      <c r="R36" s="77">
        <f>E18</f>
        <v>48.4</v>
      </c>
      <c r="S36" s="75">
        <f>F18</f>
        <v>56.6</v>
      </c>
      <c r="T36" s="75">
        <f>G18</f>
        <v>65</v>
      </c>
      <c r="U36" s="77">
        <f>H18</f>
        <v>76.599999999999994</v>
      </c>
      <c r="V36" s="78">
        <f>I18</f>
        <v>85.9</v>
      </c>
    </row>
    <row r="37" spans="1:22" x14ac:dyDescent="0.25">
      <c r="A37">
        <v>7200</v>
      </c>
      <c r="B37" s="86" t="s">
        <v>168</v>
      </c>
      <c r="C37" s="106">
        <v>0.73599999999999999</v>
      </c>
      <c r="D37" s="102">
        <v>0.80500000000000005</v>
      </c>
      <c r="E37" s="102">
        <v>1.01</v>
      </c>
      <c r="F37" s="102">
        <v>1.1499999999999999</v>
      </c>
      <c r="G37" s="102">
        <v>1.27</v>
      </c>
      <c r="H37" s="102">
        <v>1.45</v>
      </c>
      <c r="I37" s="107">
        <v>1.58</v>
      </c>
      <c r="J37" s="73"/>
      <c r="O37" s="74">
        <v>20.5</v>
      </c>
      <c r="P37" s="85"/>
      <c r="Q37" s="76"/>
      <c r="R37" s="77">
        <f t="shared" ref="R37:R45" si="15">R36-((R$36-R$46)/10)</f>
        <v>47.79</v>
      </c>
      <c r="S37" s="77">
        <f t="shared" ref="S37:S45" si="16">S36-((S$36-S$46)/10)</f>
        <v>55.89</v>
      </c>
      <c r="T37" s="77">
        <f t="shared" ref="T37:T45" si="17">T36-((T$36-T$46)/10)</f>
        <v>64.180000000000007</v>
      </c>
      <c r="U37" s="77">
        <f t="shared" ref="U37:U45" si="18">U36-((U$36-U$46)/10)</f>
        <v>75.63</v>
      </c>
      <c r="V37" s="78">
        <f t="shared" ref="V37:V45" si="19">V36-((V$36-V$46)/10)</f>
        <v>84.81</v>
      </c>
    </row>
    <row r="38" spans="1:22" x14ac:dyDescent="0.25">
      <c r="A38">
        <v>8640</v>
      </c>
      <c r="B38" s="86" t="s">
        <v>169</v>
      </c>
      <c r="C38" s="106">
        <v>0.65900000000000003</v>
      </c>
      <c r="D38" s="102">
        <v>0.72099999999999997</v>
      </c>
      <c r="E38" s="102">
        <v>0.90700000000000003</v>
      </c>
      <c r="F38" s="102">
        <v>1.03</v>
      </c>
      <c r="G38" s="102">
        <v>1.1399999999999999</v>
      </c>
      <c r="H38" s="102">
        <v>1.3</v>
      </c>
      <c r="I38" s="107">
        <v>1.42</v>
      </c>
      <c r="J38" s="73"/>
      <c r="O38" s="74">
        <v>21</v>
      </c>
      <c r="P38" s="76"/>
      <c r="Q38" s="76"/>
      <c r="R38" s="77">
        <f t="shared" si="15"/>
        <v>47.18</v>
      </c>
      <c r="S38" s="77">
        <f t="shared" si="16"/>
        <v>55.18</v>
      </c>
      <c r="T38" s="77">
        <f t="shared" si="17"/>
        <v>63.360000000000007</v>
      </c>
      <c r="U38" s="77">
        <f t="shared" si="18"/>
        <v>74.66</v>
      </c>
      <c r="V38" s="78">
        <f t="shared" si="19"/>
        <v>83.72</v>
      </c>
    </row>
    <row r="39" spans="1:22" ht="15.75" thickBot="1" x14ac:dyDescent="0.3">
      <c r="A39">
        <v>10080</v>
      </c>
      <c r="B39" s="86" t="s">
        <v>170</v>
      </c>
      <c r="C39" s="111">
        <v>0.60399999999999998</v>
      </c>
      <c r="D39" s="112">
        <v>0.65900000000000003</v>
      </c>
      <c r="E39" s="112">
        <v>0.83099999999999996</v>
      </c>
      <c r="F39" s="112">
        <v>0.94499999999999995</v>
      </c>
      <c r="G39" s="112">
        <v>1.06</v>
      </c>
      <c r="H39" s="112">
        <v>1.21</v>
      </c>
      <c r="I39" s="113">
        <v>1.32</v>
      </c>
      <c r="J39" s="73"/>
      <c r="O39" s="74">
        <v>21.5</v>
      </c>
      <c r="P39" s="75"/>
      <c r="Q39" s="76"/>
      <c r="R39" s="77">
        <f t="shared" si="15"/>
        <v>46.57</v>
      </c>
      <c r="S39" s="77">
        <f t="shared" si="16"/>
        <v>54.47</v>
      </c>
      <c r="T39" s="77">
        <f t="shared" si="17"/>
        <v>62.540000000000006</v>
      </c>
      <c r="U39" s="77">
        <f t="shared" si="18"/>
        <v>73.69</v>
      </c>
      <c r="V39" s="78">
        <f t="shared" si="19"/>
        <v>82.63</v>
      </c>
    </row>
    <row r="40" spans="1:22" ht="15.75" thickTop="1" x14ac:dyDescent="0.25">
      <c r="B40" s="414"/>
      <c r="C40" s="414"/>
      <c r="D40" s="414"/>
      <c r="E40" s="414"/>
      <c r="F40" s="414"/>
      <c r="G40" s="414"/>
      <c r="H40" s="414"/>
      <c r="I40" s="414"/>
      <c r="J40" s="73"/>
      <c r="O40" s="74">
        <v>22</v>
      </c>
      <c r="P40" s="75"/>
      <c r="Q40" s="76"/>
      <c r="R40" s="77">
        <f t="shared" si="15"/>
        <v>45.96</v>
      </c>
      <c r="S40" s="77">
        <f t="shared" si="16"/>
        <v>53.76</v>
      </c>
      <c r="T40" s="77">
        <f t="shared" si="17"/>
        <v>61.720000000000006</v>
      </c>
      <c r="U40" s="77">
        <f t="shared" si="18"/>
        <v>72.72</v>
      </c>
      <c r="V40" s="78">
        <f t="shared" si="19"/>
        <v>81.539999999999992</v>
      </c>
    </row>
    <row r="41" spans="1:22" x14ac:dyDescent="0.25">
      <c r="J41" s="73"/>
      <c r="O41" s="74">
        <v>22.5</v>
      </c>
      <c r="P41" s="75"/>
      <c r="Q41" s="76"/>
      <c r="R41" s="77">
        <f t="shared" si="15"/>
        <v>45.35</v>
      </c>
      <c r="S41" s="77">
        <f t="shared" si="16"/>
        <v>53.05</v>
      </c>
      <c r="T41" s="77">
        <f t="shared" si="17"/>
        <v>60.900000000000006</v>
      </c>
      <c r="U41" s="77">
        <f t="shared" si="18"/>
        <v>71.75</v>
      </c>
      <c r="V41" s="78">
        <f t="shared" si="19"/>
        <v>80.449999999999989</v>
      </c>
    </row>
    <row r="42" spans="1:22" x14ac:dyDescent="0.25">
      <c r="B42" s="79"/>
      <c r="C42" s="73"/>
      <c r="D42" s="73"/>
      <c r="E42" s="73"/>
      <c r="F42" s="73"/>
      <c r="G42" s="73"/>
      <c r="H42" s="73"/>
      <c r="I42" s="73"/>
      <c r="J42" s="73"/>
      <c r="O42" s="74">
        <v>23</v>
      </c>
      <c r="P42" s="75"/>
      <c r="Q42" s="76"/>
      <c r="R42" s="77">
        <f t="shared" si="15"/>
        <v>44.74</v>
      </c>
      <c r="S42" s="77">
        <f t="shared" si="16"/>
        <v>52.339999999999996</v>
      </c>
      <c r="T42" s="77">
        <f t="shared" si="17"/>
        <v>60.080000000000005</v>
      </c>
      <c r="U42" s="77">
        <f t="shared" si="18"/>
        <v>70.78</v>
      </c>
      <c r="V42" s="78">
        <f t="shared" si="19"/>
        <v>79.359999999999985</v>
      </c>
    </row>
    <row r="43" spans="1:22" x14ac:dyDescent="0.25">
      <c r="B43" s="79"/>
      <c r="C43" s="73"/>
      <c r="D43" s="73"/>
      <c r="E43" s="73"/>
      <c r="F43" s="73"/>
      <c r="G43" s="73"/>
      <c r="H43" s="73"/>
      <c r="I43" s="73"/>
      <c r="J43" s="73"/>
      <c r="O43" s="74">
        <v>23.5</v>
      </c>
      <c r="P43" s="76"/>
      <c r="Q43" s="76"/>
      <c r="R43" s="77">
        <f t="shared" si="15"/>
        <v>44.13</v>
      </c>
      <c r="S43" s="77">
        <f t="shared" si="16"/>
        <v>51.629999999999995</v>
      </c>
      <c r="T43" s="77">
        <f t="shared" si="17"/>
        <v>59.260000000000005</v>
      </c>
      <c r="U43" s="77">
        <f t="shared" si="18"/>
        <v>69.81</v>
      </c>
      <c r="V43" s="78">
        <f t="shared" si="19"/>
        <v>78.269999999999982</v>
      </c>
    </row>
    <row r="44" spans="1:22" x14ac:dyDescent="0.25">
      <c r="B44" s="79"/>
      <c r="C44" s="73"/>
      <c r="D44" s="73"/>
      <c r="E44" s="73"/>
      <c r="F44" s="73"/>
      <c r="G44" s="73"/>
      <c r="H44" s="73"/>
      <c r="I44" s="73"/>
      <c r="J44" s="73"/>
      <c r="O44" s="74">
        <v>24</v>
      </c>
      <c r="P44" s="76"/>
      <c r="Q44" s="76"/>
      <c r="R44" s="77">
        <f t="shared" si="15"/>
        <v>43.52</v>
      </c>
      <c r="S44" s="77">
        <f t="shared" si="16"/>
        <v>50.919999999999995</v>
      </c>
      <c r="T44" s="77">
        <f t="shared" si="17"/>
        <v>58.440000000000005</v>
      </c>
      <c r="U44" s="77">
        <f t="shared" si="18"/>
        <v>68.84</v>
      </c>
      <c r="V44" s="78">
        <f t="shared" si="19"/>
        <v>77.179999999999978</v>
      </c>
    </row>
    <row r="45" spans="1:22" x14ac:dyDescent="0.25">
      <c r="B45" s="79"/>
      <c r="C45" s="73"/>
      <c r="D45" s="73"/>
      <c r="E45" s="73"/>
      <c r="F45" s="73"/>
      <c r="G45" s="73"/>
      <c r="H45" s="73"/>
      <c r="I45" s="73"/>
      <c r="J45" s="73"/>
      <c r="N45" s="1"/>
      <c r="O45" s="74">
        <v>24.5</v>
      </c>
      <c r="P45" s="76"/>
      <c r="Q45" s="76"/>
      <c r="R45" s="77">
        <f t="shared" si="15"/>
        <v>42.910000000000004</v>
      </c>
      <c r="S45" s="77">
        <f t="shared" si="16"/>
        <v>50.209999999999994</v>
      </c>
      <c r="T45" s="77">
        <f t="shared" si="17"/>
        <v>57.620000000000005</v>
      </c>
      <c r="U45" s="77">
        <f t="shared" si="18"/>
        <v>67.87</v>
      </c>
      <c r="V45" s="78">
        <f t="shared" si="19"/>
        <v>76.089999999999975</v>
      </c>
    </row>
    <row r="46" spans="1:22" x14ac:dyDescent="0.25">
      <c r="B46" s="79"/>
      <c r="C46" s="73"/>
      <c r="D46" s="73"/>
      <c r="E46" s="73"/>
      <c r="F46" s="73"/>
      <c r="G46" s="73"/>
      <c r="H46" s="73"/>
      <c r="I46" s="73"/>
      <c r="J46" s="73"/>
      <c r="N46" s="1"/>
      <c r="O46" s="74">
        <v>25</v>
      </c>
      <c r="P46" s="76"/>
      <c r="Q46" s="76"/>
      <c r="R46" s="77">
        <f>E19</f>
        <v>42.3</v>
      </c>
      <c r="S46" s="77">
        <f>F19</f>
        <v>49.5</v>
      </c>
      <c r="T46" s="77">
        <f>G19</f>
        <v>56.8</v>
      </c>
      <c r="U46" s="77">
        <f>H19</f>
        <v>66.900000000000006</v>
      </c>
      <c r="V46" s="78">
        <f>I19</f>
        <v>75</v>
      </c>
    </row>
    <row r="47" spans="1:22" x14ac:dyDescent="0.25">
      <c r="B47" s="79"/>
      <c r="C47" s="73"/>
      <c r="D47" s="73"/>
      <c r="E47" s="73"/>
      <c r="F47" s="73"/>
      <c r="G47" s="73"/>
      <c r="H47" s="73"/>
      <c r="I47" s="73"/>
      <c r="J47" s="73"/>
      <c r="M47" s="79"/>
      <c r="N47" s="1"/>
      <c r="O47" s="74">
        <v>25.5</v>
      </c>
      <c r="P47" s="76"/>
      <c r="Q47" s="76"/>
      <c r="R47" s="77">
        <f t="shared" ref="R47:R55" si="20">R46-((R$46-R$56)/10)</f>
        <v>41.849999999999994</v>
      </c>
      <c r="S47" s="77">
        <f t="shared" ref="S47:S55" si="21">S46-((S$46-S$56)/10)</f>
        <v>48.97</v>
      </c>
      <c r="T47" s="77">
        <f t="shared" ref="T47:T55" si="22">T46-((T$46-T$56)/10)</f>
        <v>56.19</v>
      </c>
      <c r="U47" s="77">
        <f t="shared" ref="U47:U55" si="23">U46-((U$46-U$56)/10)</f>
        <v>66.180000000000007</v>
      </c>
      <c r="V47" s="78">
        <f t="shared" ref="V47:V55" si="24">V46-((V$46-V$56)/10)</f>
        <v>74.2</v>
      </c>
    </row>
    <row r="48" spans="1:22" x14ac:dyDescent="0.25">
      <c r="B48" s="79"/>
      <c r="C48" s="73"/>
      <c r="D48" s="73"/>
      <c r="E48" s="73"/>
      <c r="F48" s="73"/>
      <c r="G48" s="73"/>
      <c r="H48" s="73"/>
      <c r="I48" s="73"/>
      <c r="J48" s="73"/>
      <c r="M48" s="79"/>
      <c r="N48" s="1"/>
      <c r="O48" s="74">
        <v>26</v>
      </c>
      <c r="P48" s="76"/>
      <c r="Q48" s="76"/>
      <c r="R48" s="77">
        <f t="shared" si="20"/>
        <v>41.399999999999991</v>
      </c>
      <c r="S48" s="77">
        <f t="shared" si="21"/>
        <v>48.44</v>
      </c>
      <c r="T48" s="77">
        <f t="shared" si="22"/>
        <v>55.58</v>
      </c>
      <c r="U48" s="77">
        <f t="shared" si="23"/>
        <v>65.460000000000008</v>
      </c>
      <c r="V48" s="78">
        <f t="shared" si="24"/>
        <v>73.400000000000006</v>
      </c>
    </row>
    <row r="49" spans="2:22" x14ac:dyDescent="0.25">
      <c r="B49" s="79"/>
      <c r="C49" s="73"/>
      <c r="D49" s="73"/>
      <c r="E49" s="73"/>
      <c r="F49" s="73"/>
      <c r="G49" s="73"/>
      <c r="H49" s="73"/>
      <c r="I49" s="73"/>
      <c r="J49" s="73"/>
      <c r="M49" s="79"/>
      <c r="N49" s="1"/>
      <c r="O49" s="74">
        <v>26.5</v>
      </c>
      <c r="P49" s="76"/>
      <c r="Q49" s="76"/>
      <c r="R49" s="77">
        <f t="shared" si="20"/>
        <v>40.949999999999989</v>
      </c>
      <c r="S49" s="77">
        <f t="shared" si="21"/>
        <v>47.91</v>
      </c>
      <c r="T49" s="77">
        <f t="shared" si="22"/>
        <v>54.97</v>
      </c>
      <c r="U49" s="77">
        <f t="shared" si="23"/>
        <v>64.740000000000009</v>
      </c>
      <c r="V49" s="78">
        <f t="shared" si="24"/>
        <v>72.600000000000009</v>
      </c>
    </row>
    <row r="50" spans="2:22" x14ac:dyDescent="0.25">
      <c r="B50" s="79"/>
      <c r="C50" s="73"/>
      <c r="D50" s="73"/>
      <c r="E50" s="73"/>
      <c r="F50" s="73"/>
      <c r="G50" s="73"/>
      <c r="H50" s="73"/>
      <c r="I50" s="73"/>
      <c r="J50" s="73"/>
      <c r="M50" s="79"/>
      <c r="N50" s="1"/>
      <c r="O50" s="74">
        <v>27</v>
      </c>
      <c r="P50" s="76"/>
      <c r="Q50" s="76"/>
      <c r="R50" s="77">
        <f t="shared" si="20"/>
        <v>40.499999999999986</v>
      </c>
      <c r="S50" s="77">
        <f t="shared" si="21"/>
        <v>47.379999999999995</v>
      </c>
      <c r="T50" s="77">
        <f t="shared" si="22"/>
        <v>54.36</v>
      </c>
      <c r="U50" s="77">
        <f t="shared" si="23"/>
        <v>64.02000000000001</v>
      </c>
      <c r="V50" s="78">
        <f t="shared" si="24"/>
        <v>71.800000000000011</v>
      </c>
    </row>
    <row r="51" spans="2:22" x14ac:dyDescent="0.25">
      <c r="B51" s="79"/>
      <c r="C51" s="73"/>
      <c r="D51" s="73"/>
      <c r="E51" s="73"/>
      <c r="F51" s="73"/>
      <c r="G51" s="73"/>
      <c r="H51" s="73"/>
      <c r="I51" s="73"/>
      <c r="J51" s="73"/>
      <c r="M51" s="79"/>
      <c r="N51" s="1"/>
      <c r="O51" s="74">
        <v>27.5</v>
      </c>
      <c r="P51" s="76"/>
      <c r="Q51" s="76"/>
      <c r="R51" s="77">
        <f t="shared" si="20"/>
        <v>40.049999999999983</v>
      </c>
      <c r="S51" s="77">
        <f t="shared" si="21"/>
        <v>46.849999999999994</v>
      </c>
      <c r="T51" s="77">
        <f t="shared" si="22"/>
        <v>53.75</v>
      </c>
      <c r="U51" s="77">
        <f t="shared" si="23"/>
        <v>63.300000000000011</v>
      </c>
      <c r="V51" s="78">
        <f t="shared" si="24"/>
        <v>71.000000000000014</v>
      </c>
    </row>
    <row r="52" spans="2:22" x14ac:dyDescent="0.25">
      <c r="B52" s="79"/>
      <c r="C52" s="73"/>
      <c r="D52" s="73"/>
      <c r="E52" s="73"/>
      <c r="F52" s="73"/>
      <c r="G52" s="73"/>
      <c r="H52" s="73"/>
      <c r="I52" s="73"/>
      <c r="J52" s="73"/>
      <c r="M52" s="79"/>
      <c r="N52" s="1"/>
      <c r="O52" s="74">
        <v>28</v>
      </c>
      <c r="P52" s="76"/>
      <c r="Q52" s="76"/>
      <c r="R52" s="77">
        <f t="shared" si="20"/>
        <v>39.59999999999998</v>
      </c>
      <c r="S52" s="77">
        <f t="shared" si="21"/>
        <v>46.319999999999993</v>
      </c>
      <c r="T52" s="77">
        <f t="shared" si="22"/>
        <v>53.14</v>
      </c>
      <c r="U52" s="77">
        <f t="shared" si="23"/>
        <v>62.580000000000013</v>
      </c>
      <c r="V52" s="78">
        <f t="shared" si="24"/>
        <v>70.200000000000017</v>
      </c>
    </row>
    <row r="53" spans="2:22" x14ac:dyDescent="0.25">
      <c r="B53" s="79"/>
      <c r="C53" s="73"/>
      <c r="D53" s="73"/>
      <c r="E53" s="73"/>
      <c r="F53" s="73"/>
      <c r="G53" s="73"/>
      <c r="H53" s="73"/>
      <c r="I53" s="73"/>
      <c r="J53" s="73"/>
      <c r="M53" s="79"/>
      <c r="N53" s="1"/>
      <c r="O53" s="74">
        <v>28.5</v>
      </c>
      <c r="P53" s="76"/>
      <c r="Q53" s="76"/>
      <c r="R53" s="77">
        <f t="shared" si="20"/>
        <v>39.149999999999977</v>
      </c>
      <c r="S53" s="77">
        <f t="shared" si="21"/>
        <v>45.789999999999992</v>
      </c>
      <c r="T53" s="77">
        <f t="shared" si="22"/>
        <v>52.53</v>
      </c>
      <c r="U53" s="77">
        <f t="shared" si="23"/>
        <v>61.860000000000014</v>
      </c>
      <c r="V53" s="78">
        <f t="shared" si="24"/>
        <v>69.40000000000002</v>
      </c>
    </row>
    <row r="54" spans="2:22" x14ac:dyDescent="0.25">
      <c r="B54" s="79"/>
      <c r="C54" s="73"/>
      <c r="D54" s="73"/>
      <c r="E54" s="73"/>
      <c r="F54" s="73"/>
      <c r="G54" s="73"/>
      <c r="H54" s="73"/>
      <c r="I54" s="73"/>
      <c r="J54" s="73"/>
      <c r="M54" s="79"/>
      <c r="N54" s="1"/>
      <c r="O54" s="74">
        <v>29</v>
      </c>
      <c r="P54" s="76"/>
      <c r="Q54" s="76"/>
      <c r="R54" s="77">
        <f t="shared" si="20"/>
        <v>38.699999999999974</v>
      </c>
      <c r="S54" s="77">
        <f t="shared" si="21"/>
        <v>45.259999999999991</v>
      </c>
      <c r="T54" s="77">
        <f t="shared" si="22"/>
        <v>51.92</v>
      </c>
      <c r="U54" s="77">
        <f t="shared" si="23"/>
        <v>61.140000000000015</v>
      </c>
      <c r="V54" s="78">
        <f t="shared" si="24"/>
        <v>68.600000000000023</v>
      </c>
    </row>
    <row r="55" spans="2:22" x14ac:dyDescent="0.25">
      <c r="B55" s="79"/>
      <c r="C55" s="73"/>
      <c r="D55" s="73"/>
      <c r="E55" s="73"/>
      <c r="F55" s="73"/>
      <c r="G55" s="73"/>
      <c r="H55" s="73"/>
      <c r="I55" s="73"/>
      <c r="J55" s="73"/>
      <c r="O55" s="74">
        <v>29.5</v>
      </c>
      <c r="P55" s="76"/>
      <c r="Q55" s="76"/>
      <c r="R55" s="77">
        <f t="shared" si="20"/>
        <v>38.249999999999972</v>
      </c>
      <c r="S55" s="77">
        <f t="shared" si="21"/>
        <v>44.72999999999999</v>
      </c>
      <c r="T55" s="77">
        <f t="shared" si="22"/>
        <v>51.31</v>
      </c>
      <c r="U55" s="77">
        <f t="shared" si="23"/>
        <v>60.420000000000016</v>
      </c>
      <c r="V55" s="78">
        <f t="shared" si="24"/>
        <v>67.800000000000026</v>
      </c>
    </row>
    <row r="56" spans="2:22" x14ac:dyDescent="0.25">
      <c r="O56" s="74">
        <v>30</v>
      </c>
      <c r="P56" s="76"/>
      <c r="Q56" s="76"/>
      <c r="R56" s="77">
        <f>E20</f>
        <v>37.799999999999997</v>
      </c>
      <c r="S56" s="77">
        <f>F20</f>
        <v>44.2</v>
      </c>
      <c r="T56" s="77">
        <f>G20</f>
        <v>50.7</v>
      </c>
      <c r="U56" s="77">
        <f>H20</f>
        <v>59.7</v>
      </c>
      <c r="V56" s="78">
        <f>I20</f>
        <v>67</v>
      </c>
    </row>
    <row r="57" spans="2:22" x14ac:dyDescent="0.25">
      <c r="O57" s="74">
        <v>35</v>
      </c>
      <c r="P57" s="76"/>
      <c r="Q57" s="76"/>
      <c r="R57" s="77">
        <f t="shared" ref="R57:V58" si="25">R56-((R$56-R$59)/3)</f>
        <v>34.93333333333333</v>
      </c>
      <c r="S57" s="77">
        <f t="shared" si="25"/>
        <v>40.833333333333336</v>
      </c>
      <c r="T57" s="77">
        <f t="shared" si="25"/>
        <v>46.866666666666667</v>
      </c>
      <c r="U57" s="77">
        <f t="shared" si="25"/>
        <v>55.2</v>
      </c>
      <c r="V57" s="78">
        <f t="shared" si="25"/>
        <v>62</v>
      </c>
    </row>
    <row r="58" spans="2:22" x14ac:dyDescent="0.25">
      <c r="O58" s="74">
        <v>40</v>
      </c>
      <c r="P58" s="76"/>
      <c r="Q58" s="76"/>
      <c r="R58" s="77">
        <f t="shared" si="25"/>
        <v>32.066666666666663</v>
      </c>
      <c r="S58" s="77">
        <f t="shared" si="25"/>
        <v>37.466666666666669</v>
      </c>
      <c r="T58" s="77">
        <f t="shared" si="25"/>
        <v>43.033333333333331</v>
      </c>
      <c r="U58" s="77">
        <f t="shared" si="25"/>
        <v>50.7</v>
      </c>
      <c r="V58" s="78">
        <f t="shared" si="25"/>
        <v>57</v>
      </c>
    </row>
    <row r="59" spans="2:22" x14ac:dyDescent="0.25">
      <c r="O59" s="74">
        <v>45</v>
      </c>
      <c r="P59" s="76"/>
      <c r="Q59" s="76"/>
      <c r="R59" s="77">
        <f>E21</f>
        <v>29.2</v>
      </c>
      <c r="S59" s="77">
        <f>F21</f>
        <v>34.1</v>
      </c>
      <c r="T59" s="77">
        <f>G21</f>
        <v>39.200000000000003</v>
      </c>
      <c r="U59" s="77">
        <f>H21</f>
        <v>46.2</v>
      </c>
      <c r="V59" s="78">
        <f>I21</f>
        <v>52</v>
      </c>
    </row>
    <row r="60" spans="2:22" x14ac:dyDescent="0.25">
      <c r="O60" s="74">
        <v>50</v>
      </c>
      <c r="P60" s="76"/>
      <c r="Q60" s="76"/>
      <c r="R60" s="77">
        <f t="shared" ref="R60:V61" si="26">R59-((R$59-R$62)/3)</f>
        <v>27.566666666666666</v>
      </c>
      <c r="S60" s="77">
        <f t="shared" si="26"/>
        <v>32.166666666666671</v>
      </c>
      <c r="T60" s="77">
        <f t="shared" si="26"/>
        <v>36.966666666666669</v>
      </c>
      <c r="U60" s="77">
        <f t="shared" si="26"/>
        <v>43.633333333333333</v>
      </c>
      <c r="V60" s="78">
        <f t="shared" si="26"/>
        <v>49.133333333333333</v>
      </c>
    </row>
    <row r="61" spans="2:22" x14ac:dyDescent="0.25">
      <c r="O61" s="74">
        <v>55</v>
      </c>
      <c r="P61" s="76"/>
      <c r="Q61" s="76"/>
      <c r="R61" s="77">
        <f t="shared" si="26"/>
        <v>25.933333333333334</v>
      </c>
      <c r="S61" s="77">
        <f t="shared" si="26"/>
        <v>30.233333333333338</v>
      </c>
      <c r="T61" s="77">
        <f t="shared" si="26"/>
        <v>34.733333333333334</v>
      </c>
      <c r="U61" s="77">
        <f t="shared" si="26"/>
        <v>41.066666666666663</v>
      </c>
      <c r="V61" s="78">
        <f t="shared" si="26"/>
        <v>46.266666666666666</v>
      </c>
    </row>
    <row r="62" spans="2:22" x14ac:dyDescent="0.25">
      <c r="O62" s="74">
        <v>60</v>
      </c>
      <c r="P62" s="76"/>
      <c r="Q62" s="76"/>
      <c r="R62" s="77">
        <f>E22</f>
        <v>24.3</v>
      </c>
      <c r="S62" s="77">
        <f>F22</f>
        <v>28.3</v>
      </c>
      <c r="T62" s="77">
        <f>G22</f>
        <v>32.5</v>
      </c>
      <c r="U62" s="77">
        <f>H22</f>
        <v>38.5</v>
      </c>
      <c r="V62" s="78">
        <f>I22</f>
        <v>43.4</v>
      </c>
    </row>
    <row r="63" spans="2:22" x14ac:dyDescent="0.25">
      <c r="O63" s="74">
        <v>65</v>
      </c>
      <c r="P63" s="76"/>
      <c r="Q63" s="76"/>
      <c r="R63" s="77">
        <f>R62-((R$62-R$68)/6)</f>
        <v>23.35</v>
      </c>
      <c r="S63" s="77">
        <f>S62-((R$62-R$68)/6)</f>
        <v>27.35</v>
      </c>
      <c r="T63" s="77">
        <f>T62-((R$62-R$68)/6)</f>
        <v>31.55</v>
      </c>
      <c r="U63" s="77">
        <f>U62-((R$62-R$68)/6)</f>
        <v>37.549999999999997</v>
      </c>
      <c r="V63" s="78">
        <f>V62-((R$62-R$68)/6)</f>
        <v>42.449999999999996</v>
      </c>
    </row>
    <row r="64" spans="2:22" x14ac:dyDescent="0.25">
      <c r="O64" s="74">
        <v>70</v>
      </c>
      <c r="P64" s="76"/>
      <c r="Q64" s="76"/>
      <c r="R64" s="77">
        <f>R63-((R$62-R$68)/6)</f>
        <v>22.400000000000002</v>
      </c>
      <c r="S64" s="77">
        <f>S63-((R$62-R$68)/6)</f>
        <v>26.400000000000002</v>
      </c>
      <c r="T64" s="77">
        <f>T63-((R$62-R$68)/6)</f>
        <v>30.6</v>
      </c>
      <c r="U64" s="77">
        <f>U63-((R$62-R$68)/6)</f>
        <v>36.599999999999994</v>
      </c>
      <c r="V64" s="78">
        <f>V63-((R$62-R$68)/6)</f>
        <v>41.499999999999993</v>
      </c>
    </row>
    <row r="65" spans="15:22" x14ac:dyDescent="0.25">
      <c r="O65" s="74">
        <v>75</v>
      </c>
      <c r="P65" s="76"/>
      <c r="Q65" s="76"/>
      <c r="R65" s="77">
        <f>R64-((R$62-R$68)/6)</f>
        <v>21.450000000000003</v>
      </c>
      <c r="S65" s="77">
        <f>S64-((R$62-R$68)/6)</f>
        <v>25.450000000000003</v>
      </c>
      <c r="T65" s="77">
        <f>T64-((R$62-R$68)/6)</f>
        <v>29.650000000000002</v>
      </c>
      <c r="U65" s="77">
        <f>U64-((R$62-R$68)/6)</f>
        <v>35.649999999999991</v>
      </c>
      <c r="V65" s="78">
        <f>V64-((R$62-R$68)/6)</f>
        <v>40.54999999999999</v>
      </c>
    </row>
    <row r="66" spans="15:22" x14ac:dyDescent="0.25">
      <c r="O66" s="74">
        <v>80</v>
      </c>
      <c r="P66" s="76"/>
      <c r="Q66" s="76"/>
      <c r="R66" s="77">
        <f>R65-((R$62-R$68)/6)</f>
        <v>20.500000000000004</v>
      </c>
      <c r="S66" s="77">
        <f>S65-((R$62-R$68)/6)</f>
        <v>24.500000000000004</v>
      </c>
      <c r="T66" s="77">
        <f>T65-((R$62-R$68)/6)</f>
        <v>28.700000000000003</v>
      </c>
      <c r="U66" s="77">
        <f>U65-((R$62-R$68)/6)</f>
        <v>34.699999999999989</v>
      </c>
      <c r="V66" s="78">
        <f>V65-((R$62-R$68)/6)</f>
        <v>39.599999999999987</v>
      </c>
    </row>
    <row r="67" spans="15:22" x14ac:dyDescent="0.25">
      <c r="O67" s="74">
        <v>85</v>
      </c>
      <c r="P67" s="76"/>
      <c r="Q67" s="76"/>
      <c r="R67" s="77">
        <f>R66-((R$62-R$68)/6)</f>
        <v>19.550000000000004</v>
      </c>
      <c r="S67" s="77">
        <f>S66-((R$62-R$68)/6)</f>
        <v>23.550000000000004</v>
      </c>
      <c r="T67" s="77">
        <f>T66-((R$62-R$68)/6)</f>
        <v>27.750000000000004</v>
      </c>
      <c r="U67" s="77">
        <f>U66-((R$62-R$68)/6)</f>
        <v>33.749999999999986</v>
      </c>
      <c r="V67" s="78">
        <f>V66-((R$62-R$68)/6)</f>
        <v>38.649999999999984</v>
      </c>
    </row>
    <row r="68" spans="15:22" x14ac:dyDescent="0.25">
      <c r="O68" s="74">
        <v>90</v>
      </c>
      <c r="P68" s="76"/>
      <c r="Q68" s="76"/>
      <c r="R68" s="77">
        <f>E23</f>
        <v>18.600000000000001</v>
      </c>
      <c r="S68" s="77">
        <f>F23</f>
        <v>21.8</v>
      </c>
      <c r="T68" s="77">
        <f>G23</f>
        <v>25.1</v>
      </c>
      <c r="U68" s="77">
        <f>H23</f>
        <v>29.9</v>
      </c>
      <c r="V68" s="78">
        <f>I23</f>
        <v>33.9</v>
      </c>
    </row>
    <row r="69" spans="15:22" x14ac:dyDescent="0.25">
      <c r="O69" s="74">
        <v>95</v>
      </c>
      <c r="P69" s="76"/>
      <c r="Q69" s="76"/>
      <c r="R69" s="77">
        <f>R68-((R$68-R$74)/6)</f>
        <v>18.066666666666666</v>
      </c>
      <c r="S69" s="77">
        <f>S68-((R$68-R$74)/6)</f>
        <v>21.266666666666666</v>
      </c>
      <c r="T69" s="77">
        <f>T68-((R$68-R$74)/6)</f>
        <v>24.566666666666666</v>
      </c>
      <c r="U69" s="77">
        <f>U68-((R$68-R$74)/6)</f>
        <v>29.366666666666664</v>
      </c>
      <c r="V69" s="78">
        <f>V68-((R$68-R$74)/6)</f>
        <v>33.366666666666667</v>
      </c>
    </row>
    <row r="70" spans="15:22" x14ac:dyDescent="0.25">
      <c r="O70" s="74">
        <v>100</v>
      </c>
      <c r="P70" s="76"/>
      <c r="Q70" s="76"/>
      <c r="R70" s="77">
        <f>R69-((R$68-R$74)/6)</f>
        <v>17.533333333333331</v>
      </c>
      <c r="S70" s="77">
        <f>S69-((R$68-R$74)/6)</f>
        <v>20.733333333333331</v>
      </c>
      <c r="T70" s="77">
        <f>T69-((R$68-R$74)/6)</f>
        <v>24.033333333333331</v>
      </c>
      <c r="U70" s="77">
        <f>U69-((R$68-R$74)/6)</f>
        <v>28.833333333333329</v>
      </c>
      <c r="V70" s="78">
        <f>V69-((R$68-R$74)/6)</f>
        <v>32.833333333333336</v>
      </c>
    </row>
    <row r="71" spans="15:22" x14ac:dyDescent="0.25">
      <c r="O71" s="74">
        <v>105</v>
      </c>
      <c r="P71" s="76"/>
      <c r="Q71" s="76"/>
      <c r="R71" s="77">
        <f>R70-((R$68-R$74)/6)</f>
        <v>16.999999999999996</v>
      </c>
      <c r="S71" s="77">
        <f>S70-((R$68-R$74)/6)</f>
        <v>20.199999999999996</v>
      </c>
      <c r="T71" s="77">
        <f>T70-((R$68-R$74)/6)</f>
        <v>23.499999999999996</v>
      </c>
      <c r="U71" s="77">
        <f>U70-((R$68-R$74)/6)</f>
        <v>28.299999999999994</v>
      </c>
      <c r="V71" s="78">
        <f>V70-((R$68-R$74)/6)</f>
        <v>32.300000000000004</v>
      </c>
    </row>
    <row r="72" spans="15:22" x14ac:dyDescent="0.25">
      <c r="O72" s="74">
        <v>110</v>
      </c>
      <c r="P72" s="76"/>
      <c r="Q72" s="76"/>
      <c r="R72" s="77">
        <f>R71-((R$68-R$74)/6)</f>
        <v>16.466666666666661</v>
      </c>
      <c r="S72" s="77">
        <f>S71-((R$68-R$74)/6)</f>
        <v>19.666666666666661</v>
      </c>
      <c r="T72" s="77">
        <f>T71-((R$68-R$74)/6)</f>
        <v>22.966666666666661</v>
      </c>
      <c r="U72" s="77">
        <f>U71-((R$68-R$74)/6)</f>
        <v>27.766666666666659</v>
      </c>
      <c r="V72" s="78">
        <f>V71-((R$68-R$74)/6)</f>
        <v>31.766666666666669</v>
      </c>
    </row>
    <row r="73" spans="15:22" x14ac:dyDescent="0.25">
      <c r="O73" s="74">
        <v>115</v>
      </c>
      <c r="P73" s="76"/>
      <c r="Q73" s="76"/>
      <c r="R73" s="77">
        <f>R72-((R$68-R$74)/6)</f>
        <v>15.933333333333328</v>
      </c>
      <c r="S73" s="77">
        <f>S72-((R$68-R$74)/6)</f>
        <v>19.133333333333326</v>
      </c>
      <c r="T73" s="77">
        <f>T72-((R$68-R$74)/6)</f>
        <v>22.433333333333326</v>
      </c>
      <c r="U73" s="77">
        <f>U72-((R$68-R$74)/6)</f>
        <v>27.233333333333324</v>
      </c>
      <c r="V73" s="78">
        <f>V72-((R$68-R$74)/6)</f>
        <v>31.233333333333334</v>
      </c>
    </row>
    <row r="74" spans="15:22" ht="15.75" thickBot="1" x14ac:dyDescent="0.3">
      <c r="O74" s="80">
        <v>120</v>
      </c>
      <c r="P74" s="81"/>
      <c r="Q74" s="81"/>
      <c r="R74" s="82">
        <f>E24</f>
        <v>15.4</v>
      </c>
      <c r="S74" s="82">
        <f>F24</f>
        <v>18.100000000000001</v>
      </c>
      <c r="T74" s="82">
        <f>G24</f>
        <v>20.9</v>
      </c>
      <c r="U74" s="82">
        <f>H24</f>
        <v>25</v>
      </c>
      <c r="V74" s="83">
        <f>I24</f>
        <v>28.5</v>
      </c>
    </row>
  </sheetData>
  <sheetProtection algorithmName="SHA-512" hashValue="/bTkPnhqmCbfJhwHF39Ew9Ug+5scb0krBrdLNNzM/MQDvzgjDqLauybB3Usb33FCE3uo0DxJcsNdC33s5S3Ouw==" saltValue="qRX3hNqqFYo9/GxPrGBL9w==" spinCount="100000" sheet="1" objects="1" scenarios="1" selectLockedCells="1"/>
  <mergeCells count="2">
    <mergeCell ref="B40:I40"/>
    <mergeCell ref="B8:I8"/>
  </mergeCells>
  <hyperlinks>
    <hyperlink ref="A7" r:id="rId1" xr:uid="{524DE77D-8456-4BAF-83C9-799AB6FAE45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B1329-F401-4120-8188-818CC20221B0}">
  <sheetPr codeName="Sheet4"/>
  <dimension ref="A1:Z169"/>
  <sheetViews>
    <sheetView topLeftCell="A147" zoomScaleNormal="100" workbookViewId="0">
      <selection activeCell="Q176" sqref="Q176"/>
    </sheetView>
  </sheetViews>
  <sheetFormatPr defaultRowHeight="15" x14ac:dyDescent="0.25"/>
  <cols>
    <col min="1" max="1" width="28" style="16" customWidth="1"/>
    <col min="2" max="3" width="11.28515625" style="16" customWidth="1"/>
    <col min="4" max="6" width="9.140625" style="16"/>
    <col min="7" max="7" width="21.85546875" style="16" customWidth="1"/>
    <col min="8" max="8" width="11.5703125" style="16" customWidth="1"/>
    <col min="9" max="9" width="9.140625" style="16"/>
    <col min="10" max="10" width="19.85546875" style="16" customWidth="1"/>
    <col min="11" max="16384" width="9.140625" style="16"/>
  </cols>
  <sheetData>
    <row r="1" spans="1:10" ht="21" x14ac:dyDescent="0.35">
      <c r="A1" s="424" t="s">
        <v>171</v>
      </c>
      <c r="B1" s="425"/>
      <c r="C1" s="425"/>
      <c r="D1" s="425"/>
      <c r="E1" s="425"/>
      <c r="F1" s="425"/>
      <c r="G1" s="425"/>
      <c r="H1" s="425"/>
      <c r="I1" s="425"/>
      <c r="J1" s="426"/>
    </row>
    <row r="2" spans="1:10" x14ac:dyDescent="0.25">
      <c r="A2" s="53" t="s">
        <v>33</v>
      </c>
      <c r="B2" s="54">
        <v>5.0000000000000002E-5</v>
      </c>
      <c r="J2" s="55"/>
    </row>
    <row r="3" spans="1:10" x14ac:dyDescent="0.25">
      <c r="A3" s="53" t="s">
        <v>172</v>
      </c>
      <c r="B3" s="54">
        <v>1.0000000000000001E-5</v>
      </c>
      <c r="J3" s="55"/>
    </row>
    <row r="4" spans="1:10" x14ac:dyDescent="0.25">
      <c r="A4" s="53" t="s">
        <v>173</v>
      </c>
      <c r="B4" s="54">
        <v>9.9999999999999995E-7</v>
      </c>
      <c r="J4" s="55"/>
    </row>
    <row r="5" spans="1:10" x14ac:dyDescent="0.25">
      <c r="A5" s="53" t="s">
        <v>174</v>
      </c>
      <c r="B5" s="54">
        <v>1E-8</v>
      </c>
      <c r="J5" s="55"/>
    </row>
    <row r="6" spans="1:10" x14ac:dyDescent="0.25">
      <c r="A6" s="53" t="s">
        <v>175</v>
      </c>
      <c r="B6" s="54">
        <v>3.4700000000000003E-5</v>
      </c>
      <c r="J6" s="55"/>
    </row>
    <row r="7" spans="1:10" x14ac:dyDescent="0.25">
      <c r="A7" s="56"/>
      <c r="J7" s="55"/>
    </row>
    <row r="8" spans="1:10" x14ac:dyDescent="0.25">
      <c r="A8" s="56"/>
      <c r="J8" s="55"/>
    </row>
    <row r="9" spans="1:10" x14ac:dyDescent="0.25">
      <c r="A9" s="53" t="s">
        <v>33</v>
      </c>
      <c r="B9" s="26">
        <v>0.5</v>
      </c>
      <c r="J9" s="55"/>
    </row>
    <row r="10" spans="1:10" x14ac:dyDescent="0.25">
      <c r="A10" s="53" t="s">
        <v>172</v>
      </c>
      <c r="B10" s="26">
        <v>1</v>
      </c>
      <c r="J10" s="55"/>
    </row>
    <row r="11" spans="1:10" x14ac:dyDescent="0.25">
      <c r="A11" s="53" t="s">
        <v>173</v>
      </c>
      <c r="B11" s="26">
        <v>2</v>
      </c>
      <c r="J11" s="55"/>
    </row>
    <row r="12" spans="1:10" x14ac:dyDescent="0.25">
      <c r="A12" s="53" t="s">
        <v>174</v>
      </c>
      <c r="B12" s="26">
        <v>2</v>
      </c>
      <c r="J12" s="55"/>
    </row>
    <row r="13" spans="1:10" x14ac:dyDescent="0.25">
      <c r="A13" s="53" t="s">
        <v>175</v>
      </c>
      <c r="B13" s="26">
        <v>0.5</v>
      </c>
      <c r="J13" s="55"/>
    </row>
    <row r="14" spans="1:10" x14ac:dyDescent="0.25">
      <c r="A14" s="56"/>
      <c r="J14" s="55"/>
    </row>
    <row r="15" spans="1:10" x14ac:dyDescent="0.25">
      <c r="A15" s="53" t="s">
        <v>177</v>
      </c>
      <c r="J15" s="55"/>
    </row>
    <row r="16" spans="1:10" x14ac:dyDescent="0.25">
      <c r="A16" s="53" t="s">
        <v>21</v>
      </c>
      <c r="J16" s="55"/>
    </row>
    <row r="17" spans="1:10" x14ac:dyDescent="0.25">
      <c r="A17" s="53" t="s">
        <v>178</v>
      </c>
      <c r="D17" s="57" t="s">
        <v>176</v>
      </c>
      <c r="J17" s="55"/>
    </row>
    <row r="18" spans="1:10" ht="21" x14ac:dyDescent="0.35">
      <c r="A18" s="419" t="s">
        <v>179</v>
      </c>
      <c r="B18" s="420"/>
      <c r="C18" s="420"/>
      <c r="D18" s="420"/>
      <c r="E18" s="420"/>
      <c r="F18" s="420"/>
      <c r="G18" s="420"/>
      <c r="H18" s="420"/>
      <c r="I18" s="420"/>
      <c r="J18" s="421"/>
    </row>
    <row r="19" spans="1:10" x14ac:dyDescent="0.25">
      <c r="A19" s="56"/>
      <c r="J19" s="55"/>
    </row>
    <row r="20" spans="1:10" x14ac:dyDescent="0.25">
      <c r="A20" s="58" t="s">
        <v>180</v>
      </c>
      <c r="J20" s="55"/>
    </row>
    <row r="21" spans="1:10" x14ac:dyDescent="0.25">
      <c r="A21" s="58">
        <v>5</v>
      </c>
      <c r="J21" s="55"/>
    </row>
    <row r="22" spans="1:10" x14ac:dyDescent="0.25">
      <c r="A22" s="58">
        <v>60</v>
      </c>
      <c r="J22" s="55"/>
    </row>
    <row r="23" spans="1:10" x14ac:dyDescent="0.25">
      <c r="A23" s="58">
        <v>720</v>
      </c>
      <c r="J23" s="55"/>
    </row>
    <row r="24" spans="1:10" ht="21" x14ac:dyDescent="0.35">
      <c r="A24" s="419" t="s">
        <v>181</v>
      </c>
      <c r="B24" s="420"/>
      <c r="C24" s="420"/>
      <c r="D24" s="420"/>
      <c r="E24" s="420"/>
      <c r="F24" s="420"/>
      <c r="G24" s="420"/>
      <c r="H24" s="420"/>
      <c r="I24" s="420"/>
      <c r="J24" s="421"/>
    </row>
    <row r="25" spans="1:10" x14ac:dyDescent="0.25">
      <c r="A25" s="56"/>
      <c r="J25" s="55"/>
    </row>
    <row r="26" spans="1:10" x14ac:dyDescent="0.25">
      <c r="A26" s="53" t="s">
        <v>182</v>
      </c>
      <c r="B26" s="26"/>
      <c r="J26" s="55"/>
    </row>
    <row r="27" spans="1:10" x14ac:dyDescent="0.25">
      <c r="A27" s="53" t="s">
        <v>183</v>
      </c>
      <c r="B27" s="26">
        <v>0.9</v>
      </c>
      <c r="J27" s="55"/>
    </row>
    <row r="28" spans="1:10" x14ac:dyDescent="0.25">
      <c r="A28" s="53" t="s">
        <v>184</v>
      </c>
      <c r="B28" s="26">
        <v>1</v>
      </c>
      <c r="J28" s="55"/>
    </row>
    <row r="29" spans="1:10" x14ac:dyDescent="0.25">
      <c r="A29" s="56"/>
      <c r="J29" s="55"/>
    </row>
    <row r="30" spans="1:10" x14ac:dyDescent="0.25">
      <c r="A30" s="56"/>
      <c r="J30" s="55"/>
    </row>
    <row r="31" spans="1:10" x14ac:dyDescent="0.25">
      <c r="A31" s="56"/>
      <c r="J31" s="55"/>
    </row>
    <row r="32" spans="1:10" x14ac:dyDescent="0.25">
      <c r="A32" s="59"/>
      <c r="J32" s="55"/>
    </row>
    <row r="33" spans="1:26" x14ac:dyDescent="0.25">
      <c r="A33" s="56"/>
      <c r="B33" s="17"/>
      <c r="J33" s="55"/>
    </row>
    <row r="34" spans="1:26" x14ac:dyDescent="0.25">
      <c r="A34" s="56"/>
      <c r="B34" s="17"/>
      <c r="J34" s="55"/>
      <c r="Y34" s="19"/>
      <c r="Z34" s="19"/>
    </row>
    <row r="35" spans="1:26" x14ac:dyDescent="0.25">
      <c r="A35" s="56"/>
      <c r="B35" s="17"/>
      <c r="J35" s="55"/>
      <c r="Y35" s="19"/>
      <c r="Z35" s="19"/>
    </row>
    <row r="36" spans="1:26" x14ac:dyDescent="0.25">
      <c r="A36" s="56"/>
      <c r="J36" s="55"/>
      <c r="Y36" s="19"/>
      <c r="Z36" s="19"/>
    </row>
    <row r="37" spans="1:26" x14ac:dyDescent="0.25">
      <c r="A37" s="56"/>
      <c r="J37" s="55"/>
      <c r="Y37" s="19"/>
      <c r="Z37" s="19"/>
    </row>
    <row r="38" spans="1:26" x14ac:dyDescent="0.25">
      <c r="A38" s="56"/>
      <c r="J38" s="55"/>
      <c r="Y38" s="19"/>
      <c r="Z38" s="19"/>
    </row>
    <row r="39" spans="1:26" x14ac:dyDescent="0.25">
      <c r="A39" s="56"/>
      <c r="J39" s="55"/>
    </row>
    <row r="40" spans="1:26" x14ac:dyDescent="0.25">
      <c r="A40" s="56"/>
      <c r="C40" s="60"/>
      <c r="D40" s="60"/>
      <c r="J40" s="55"/>
    </row>
    <row r="41" spans="1:26" x14ac:dyDescent="0.25">
      <c r="A41" s="56"/>
      <c r="J41" s="55"/>
    </row>
    <row r="42" spans="1:26" x14ac:dyDescent="0.25">
      <c r="A42" s="56"/>
      <c r="J42" s="55"/>
    </row>
    <row r="43" spans="1:26" x14ac:dyDescent="0.25">
      <c r="A43" s="56"/>
      <c r="J43" s="55"/>
    </row>
    <row r="44" spans="1:26" x14ac:dyDescent="0.25">
      <c r="A44" s="56"/>
      <c r="E44" s="61" t="s">
        <v>248</v>
      </c>
      <c r="J44" s="55"/>
    </row>
    <row r="45" spans="1:26" ht="21" x14ac:dyDescent="0.25">
      <c r="A45" s="416" t="s">
        <v>186</v>
      </c>
      <c r="B45" s="422"/>
      <c r="C45" s="422"/>
      <c r="D45" s="422"/>
      <c r="E45" s="422"/>
      <c r="F45" s="422"/>
      <c r="G45" s="422"/>
      <c r="H45" s="422"/>
      <c r="I45" s="422"/>
      <c r="J45" s="423"/>
    </row>
    <row r="46" spans="1:26" x14ac:dyDescent="0.25">
      <c r="A46" s="56"/>
      <c r="J46" s="55"/>
    </row>
    <row r="47" spans="1:26" x14ac:dyDescent="0.25">
      <c r="A47" s="56"/>
      <c r="J47" s="55"/>
    </row>
    <row r="48" spans="1:26" x14ac:dyDescent="0.25">
      <c r="A48" s="56"/>
      <c r="J48" s="55"/>
    </row>
    <row r="49" spans="1:20" x14ac:dyDescent="0.25">
      <c r="A49" s="63"/>
      <c r="B49" s="19"/>
      <c r="J49" s="55"/>
    </row>
    <row r="50" spans="1:20" x14ac:dyDescent="0.25">
      <c r="A50" s="56"/>
      <c r="J50" s="55"/>
    </row>
    <row r="51" spans="1:20" x14ac:dyDescent="0.25">
      <c r="A51" s="56"/>
      <c r="J51" s="55"/>
    </row>
    <row r="52" spans="1:20" x14ac:dyDescent="0.25">
      <c r="A52" s="56"/>
      <c r="J52" s="55"/>
      <c r="R52" s="61"/>
    </row>
    <row r="53" spans="1:20" x14ac:dyDescent="0.25">
      <c r="A53" s="56"/>
      <c r="J53" s="55"/>
    </row>
    <row r="54" spans="1:20" x14ac:dyDescent="0.25">
      <c r="A54" s="56"/>
      <c r="J54" s="55"/>
    </row>
    <row r="55" spans="1:20" x14ac:dyDescent="0.25">
      <c r="A55" s="56"/>
      <c r="J55" s="55"/>
    </row>
    <row r="56" spans="1:20" x14ac:dyDescent="0.25">
      <c r="A56" s="56"/>
      <c r="J56" s="55"/>
    </row>
    <row r="57" spans="1:20" x14ac:dyDescent="0.25">
      <c r="A57" s="56"/>
      <c r="J57" s="55"/>
    </row>
    <row r="58" spans="1:20" x14ac:dyDescent="0.25">
      <c r="A58" s="63"/>
      <c r="J58" s="55"/>
    </row>
    <row r="59" spans="1:20" x14ac:dyDescent="0.25">
      <c r="A59" s="63"/>
      <c r="B59" s="19"/>
      <c r="J59" s="55"/>
    </row>
    <row r="60" spans="1:20" x14ac:dyDescent="0.25">
      <c r="A60" s="63"/>
      <c r="B60" s="19"/>
      <c r="J60" s="55"/>
    </row>
    <row r="61" spans="1:20" x14ac:dyDescent="0.25">
      <c r="A61" s="63"/>
      <c r="B61" s="19"/>
      <c r="J61" s="55"/>
      <c r="R61" s="19"/>
      <c r="S61" s="19"/>
    </row>
    <row r="62" spans="1:20" x14ac:dyDescent="0.25">
      <c r="A62" s="63"/>
      <c r="B62" s="19"/>
      <c r="J62" s="55"/>
    </row>
    <row r="63" spans="1:20" x14ac:dyDescent="0.25">
      <c r="A63" s="63"/>
      <c r="B63" s="19"/>
      <c r="J63" s="55"/>
      <c r="T63" s="64"/>
    </row>
    <row r="64" spans="1:20" x14ac:dyDescent="0.25">
      <c r="A64" s="63"/>
      <c r="B64" s="19"/>
      <c r="J64" s="55"/>
    </row>
    <row r="65" spans="1:10" x14ac:dyDescent="0.25">
      <c r="A65" s="63"/>
      <c r="B65" s="19"/>
      <c r="J65" s="55"/>
    </row>
    <row r="66" spans="1:10" x14ac:dyDescent="0.25">
      <c r="A66" s="63"/>
      <c r="B66" s="19"/>
      <c r="J66" s="55"/>
    </row>
    <row r="67" spans="1:10" x14ac:dyDescent="0.25">
      <c r="A67" s="63"/>
      <c r="B67" s="19"/>
      <c r="J67" s="55"/>
    </row>
    <row r="68" spans="1:10" x14ac:dyDescent="0.25">
      <c r="A68" s="63"/>
      <c r="B68" s="19"/>
      <c r="J68" s="55"/>
    </row>
    <row r="69" spans="1:10" x14ac:dyDescent="0.25">
      <c r="A69" s="63"/>
      <c r="B69" s="19"/>
      <c r="J69" s="55"/>
    </row>
    <row r="70" spans="1:10" x14ac:dyDescent="0.25">
      <c r="A70" s="63"/>
      <c r="B70" s="19"/>
      <c r="J70" s="55"/>
    </row>
    <row r="71" spans="1:10" x14ac:dyDescent="0.25">
      <c r="A71" s="63"/>
      <c r="B71" s="19"/>
      <c r="E71" s="61" t="s">
        <v>247</v>
      </c>
      <c r="J71" s="55"/>
    </row>
    <row r="72" spans="1:10" ht="58.5" customHeight="1" x14ac:dyDescent="0.25">
      <c r="A72" s="427" t="s">
        <v>269</v>
      </c>
      <c r="B72" s="428"/>
      <c r="C72" s="428"/>
      <c r="D72" s="428"/>
      <c r="E72" s="428"/>
      <c r="F72" s="428"/>
      <c r="G72" s="428"/>
      <c r="H72" s="428"/>
      <c r="I72" s="428"/>
      <c r="J72" s="429"/>
    </row>
    <row r="73" spans="1:10" ht="21" x14ac:dyDescent="0.25">
      <c r="A73" s="416" t="s">
        <v>187</v>
      </c>
      <c r="B73" s="417"/>
      <c r="C73" s="417"/>
      <c r="D73" s="417"/>
      <c r="E73" s="417"/>
      <c r="F73" s="417"/>
      <c r="G73" s="417"/>
      <c r="H73" s="417"/>
      <c r="I73" s="417"/>
      <c r="J73" s="418"/>
    </row>
    <row r="74" spans="1:10" ht="30" x14ac:dyDescent="0.25">
      <c r="A74" s="58" t="s">
        <v>188</v>
      </c>
      <c r="B74" s="65" t="s">
        <v>189</v>
      </c>
      <c r="C74" s="66" t="s">
        <v>70</v>
      </c>
      <c r="D74" s="54" t="s">
        <v>67</v>
      </c>
      <c r="J74" s="55"/>
    </row>
    <row r="75" spans="1:10" x14ac:dyDescent="0.25">
      <c r="A75" s="58">
        <v>0</v>
      </c>
      <c r="B75" s="65">
        <v>0</v>
      </c>
      <c r="C75" s="26">
        <v>0</v>
      </c>
      <c r="D75" s="54" t="s">
        <v>78</v>
      </c>
      <c r="J75" s="55"/>
    </row>
    <row r="76" spans="1:10" x14ac:dyDescent="0.25">
      <c r="A76" s="58">
        <v>0.6</v>
      </c>
      <c r="B76" s="65">
        <v>0.6</v>
      </c>
      <c r="C76" s="26">
        <v>1</v>
      </c>
      <c r="D76" s="54" t="s">
        <v>76</v>
      </c>
      <c r="J76" s="55"/>
    </row>
    <row r="77" spans="1:10" x14ac:dyDescent="0.25">
      <c r="A77" s="58">
        <v>0.9</v>
      </c>
      <c r="B77" s="65">
        <v>0.9</v>
      </c>
      <c r="C77" s="26">
        <v>2</v>
      </c>
      <c r="J77" s="55"/>
    </row>
    <row r="78" spans="1:10" x14ac:dyDescent="0.25">
      <c r="A78" s="58">
        <v>1.05</v>
      </c>
      <c r="B78" s="65">
        <v>1.2</v>
      </c>
      <c r="C78" s="26">
        <v>3</v>
      </c>
      <c r="J78" s="55"/>
    </row>
    <row r="79" spans="1:10" x14ac:dyDescent="0.25">
      <c r="A79" s="58">
        <v>1.2</v>
      </c>
      <c r="B79" s="65">
        <v>1.5</v>
      </c>
      <c r="C79" s="26">
        <v>4</v>
      </c>
      <c r="J79" s="55"/>
    </row>
    <row r="80" spans="1:10" x14ac:dyDescent="0.25">
      <c r="A80" s="58">
        <v>1.5</v>
      </c>
      <c r="B80" s="65">
        <v>1.8</v>
      </c>
      <c r="C80" s="26">
        <v>5</v>
      </c>
      <c r="J80" s="55"/>
    </row>
    <row r="81" spans="1:20" x14ac:dyDescent="0.25">
      <c r="A81" s="58">
        <v>1.8</v>
      </c>
      <c r="B81" s="65">
        <v>2.4</v>
      </c>
      <c r="J81" s="55"/>
    </row>
    <row r="82" spans="1:20" x14ac:dyDescent="0.25">
      <c r="A82" s="43"/>
      <c r="B82" s="19"/>
      <c r="J82" s="55"/>
    </row>
    <row r="83" spans="1:20" x14ac:dyDescent="0.25">
      <c r="A83" s="43"/>
      <c r="B83" s="19"/>
      <c r="J83" s="55"/>
    </row>
    <row r="84" spans="1:20" x14ac:dyDescent="0.25">
      <c r="A84" s="43"/>
      <c r="B84" s="19"/>
      <c r="J84" s="55"/>
    </row>
    <row r="85" spans="1:20" x14ac:dyDescent="0.25">
      <c r="A85" s="56"/>
      <c r="E85" s="61" t="s">
        <v>248</v>
      </c>
      <c r="J85" s="55"/>
    </row>
    <row r="86" spans="1:20" ht="21" x14ac:dyDescent="0.35">
      <c r="A86" s="419" t="s">
        <v>190</v>
      </c>
      <c r="B86" s="420"/>
      <c r="C86" s="420"/>
      <c r="D86" s="420"/>
      <c r="E86" s="420"/>
      <c r="F86" s="420"/>
      <c r="G86" s="420"/>
      <c r="H86" s="420"/>
      <c r="I86" s="420"/>
      <c r="J86" s="421"/>
    </row>
    <row r="87" spans="1:20" ht="30" x14ac:dyDescent="0.25">
      <c r="A87" s="67" t="s">
        <v>85</v>
      </c>
      <c r="B87" s="66" t="s">
        <v>191</v>
      </c>
      <c r="J87" s="55"/>
    </row>
    <row r="88" spans="1:20" x14ac:dyDescent="0.25">
      <c r="A88" s="67">
        <v>2000</v>
      </c>
      <c r="B88" s="26">
        <v>0</v>
      </c>
      <c r="J88" s="55"/>
    </row>
    <row r="89" spans="1:20" x14ac:dyDescent="0.25">
      <c r="A89" s="67">
        <v>3000</v>
      </c>
      <c r="B89" s="26">
        <v>1</v>
      </c>
      <c r="J89" s="55"/>
    </row>
    <row r="90" spans="1:20" x14ac:dyDescent="0.25">
      <c r="A90" s="67">
        <v>5000</v>
      </c>
      <c r="B90" s="26">
        <v>2</v>
      </c>
      <c r="J90" s="55"/>
    </row>
    <row r="91" spans="1:20" x14ac:dyDescent="0.25">
      <c r="A91" s="67">
        <v>10000</v>
      </c>
      <c r="B91" s="26">
        <v>3</v>
      </c>
      <c r="J91" s="55"/>
    </row>
    <row r="92" spans="1:20" x14ac:dyDescent="0.25">
      <c r="A92" s="56"/>
      <c r="B92" s="26">
        <v>4</v>
      </c>
      <c r="J92" s="55"/>
      <c r="T92" s="61"/>
    </row>
    <row r="93" spans="1:20" x14ac:dyDescent="0.25">
      <c r="A93" s="56"/>
      <c r="B93" s="26">
        <v>5</v>
      </c>
      <c r="J93" s="55"/>
    </row>
    <row r="94" spans="1:20" ht="21" x14ac:dyDescent="0.25">
      <c r="A94" s="416" t="s">
        <v>192</v>
      </c>
      <c r="B94" s="422"/>
      <c r="C94" s="422"/>
      <c r="D94" s="422"/>
      <c r="E94" s="422"/>
      <c r="F94" s="422"/>
      <c r="G94" s="422"/>
      <c r="H94" s="422"/>
      <c r="I94" s="422"/>
      <c r="J94" s="423"/>
    </row>
    <row r="95" spans="1:20" x14ac:dyDescent="0.25">
      <c r="A95" s="67" t="s">
        <v>193</v>
      </c>
      <c r="B95" s="26" t="s">
        <v>194</v>
      </c>
      <c r="J95" s="55"/>
    </row>
    <row r="96" spans="1:20" x14ac:dyDescent="0.25">
      <c r="A96" s="67">
        <v>600</v>
      </c>
      <c r="B96" s="26">
        <v>300</v>
      </c>
      <c r="D96" s="432" t="s">
        <v>195</v>
      </c>
      <c r="E96" s="432"/>
      <c r="J96" s="55"/>
    </row>
    <row r="97" spans="1:10" x14ac:dyDescent="0.25">
      <c r="A97" s="67">
        <v>900</v>
      </c>
      <c r="B97" s="26">
        <v>400</v>
      </c>
      <c r="D97" s="430" t="s">
        <v>196</v>
      </c>
      <c r="E97" s="430"/>
      <c r="F97" s="430"/>
      <c r="G97" s="430"/>
      <c r="H97" s="430"/>
      <c r="I97" s="430"/>
      <c r="J97" s="431"/>
    </row>
    <row r="98" spans="1:10" x14ac:dyDescent="0.25">
      <c r="A98" s="56"/>
      <c r="B98" s="26">
        <v>500</v>
      </c>
      <c r="D98" s="430"/>
      <c r="E98" s="430"/>
      <c r="F98" s="430"/>
      <c r="G98" s="430"/>
      <c r="H98" s="430"/>
      <c r="I98" s="430"/>
      <c r="J98" s="431"/>
    </row>
    <row r="99" spans="1:10" x14ac:dyDescent="0.25">
      <c r="A99" s="56"/>
      <c r="B99" s="26">
        <v>600</v>
      </c>
      <c r="J99" s="55"/>
    </row>
    <row r="100" spans="1:10" x14ac:dyDescent="0.25">
      <c r="A100" s="56"/>
      <c r="B100" s="26">
        <v>700</v>
      </c>
      <c r="J100" s="55"/>
    </row>
    <row r="101" spans="1:10" x14ac:dyDescent="0.25">
      <c r="A101" s="56"/>
      <c r="B101" s="26">
        <v>800</v>
      </c>
      <c r="J101" s="55"/>
    </row>
    <row r="102" spans="1:10" x14ac:dyDescent="0.25">
      <c r="A102" s="56"/>
      <c r="J102" s="55"/>
    </row>
    <row r="103" spans="1:10" x14ac:dyDescent="0.25">
      <c r="A103" s="68" t="s">
        <v>197</v>
      </c>
      <c r="B103" s="65" t="s">
        <v>198</v>
      </c>
      <c r="C103" s="65" t="s">
        <v>199</v>
      </c>
      <c r="J103" s="55"/>
    </row>
    <row r="104" spans="1:10" x14ac:dyDescent="0.25">
      <c r="A104" s="53" t="s">
        <v>200</v>
      </c>
      <c r="B104" s="65" t="s">
        <v>201</v>
      </c>
      <c r="C104" s="65">
        <v>0.61</v>
      </c>
      <c r="J104" s="55"/>
    </row>
    <row r="105" spans="1:10" x14ac:dyDescent="0.25">
      <c r="A105" s="53" t="s">
        <v>202</v>
      </c>
      <c r="B105" s="65" t="s">
        <v>201</v>
      </c>
      <c r="C105" s="65">
        <v>0.61</v>
      </c>
      <c r="J105" s="55"/>
    </row>
    <row r="106" spans="1:10" x14ac:dyDescent="0.25">
      <c r="A106" s="53" t="s">
        <v>203</v>
      </c>
      <c r="B106" s="65" t="s">
        <v>204</v>
      </c>
      <c r="C106" s="65">
        <v>0.86</v>
      </c>
      <c r="J106" s="55"/>
    </row>
    <row r="107" spans="1:10" x14ac:dyDescent="0.25">
      <c r="A107" s="53" t="s">
        <v>205</v>
      </c>
      <c r="B107" s="65" t="s">
        <v>206</v>
      </c>
      <c r="C107" s="65">
        <v>0.98</v>
      </c>
      <c r="J107" s="55"/>
    </row>
    <row r="108" spans="1:10" x14ac:dyDescent="0.25">
      <c r="A108" s="56"/>
      <c r="J108" s="55"/>
    </row>
    <row r="109" spans="1:10" x14ac:dyDescent="0.25">
      <c r="A109" s="56"/>
      <c r="J109" s="55"/>
    </row>
    <row r="110" spans="1:10" x14ac:dyDescent="0.25">
      <c r="A110" s="56"/>
      <c r="J110" s="55"/>
    </row>
    <row r="111" spans="1:10" x14ac:dyDescent="0.25">
      <c r="A111" s="56"/>
      <c r="J111" s="55"/>
    </row>
    <row r="112" spans="1:10" x14ac:dyDescent="0.25">
      <c r="A112" s="56"/>
      <c r="J112" s="55"/>
    </row>
    <row r="113" spans="1:13" x14ac:dyDescent="0.25">
      <c r="A113" s="56"/>
      <c r="J113" s="55"/>
    </row>
    <row r="114" spans="1:13" x14ac:dyDescent="0.25">
      <c r="A114" s="56"/>
      <c r="J114" s="55"/>
    </row>
    <row r="115" spans="1:13" x14ac:dyDescent="0.25">
      <c r="A115" s="56"/>
      <c r="J115" s="55"/>
    </row>
    <row r="116" spans="1:13" x14ac:dyDescent="0.25">
      <c r="A116" s="56"/>
      <c r="J116" s="55"/>
    </row>
    <row r="117" spans="1:13" x14ac:dyDescent="0.25">
      <c r="A117" s="56"/>
      <c r="D117" s="62"/>
      <c r="E117" s="19"/>
      <c r="J117" s="55"/>
    </row>
    <row r="118" spans="1:13" x14ac:dyDescent="0.25">
      <c r="A118" s="56"/>
      <c r="E118" s="19"/>
      <c r="J118" s="55"/>
    </row>
    <row r="119" spans="1:13" x14ac:dyDescent="0.25">
      <c r="A119" s="56"/>
      <c r="E119" s="19"/>
      <c r="J119" s="55"/>
      <c r="M119" s="16" t="s">
        <v>185</v>
      </c>
    </row>
    <row r="120" spans="1:13" x14ac:dyDescent="0.25">
      <c r="A120" s="56"/>
      <c r="E120" s="19"/>
      <c r="J120" s="55"/>
    </row>
    <row r="121" spans="1:13" x14ac:dyDescent="0.25">
      <c r="A121" s="56"/>
      <c r="J121" s="55"/>
    </row>
    <row r="122" spans="1:13" x14ac:dyDescent="0.25">
      <c r="A122" s="56"/>
      <c r="J122" s="55"/>
    </row>
    <row r="123" spans="1:13" x14ac:dyDescent="0.25">
      <c r="A123" s="56"/>
      <c r="J123" s="55"/>
    </row>
    <row r="124" spans="1:13" x14ac:dyDescent="0.25">
      <c r="A124" s="56"/>
      <c r="J124" s="55"/>
    </row>
    <row r="125" spans="1:13" x14ac:dyDescent="0.25">
      <c r="A125" s="56"/>
      <c r="J125" s="55"/>
    </row>
    <row r="126" spans="1:13" x14ac:dyDescent="0.25">
      <c r="A126" s="56"/>
      <c r="J126" s="55"/>
    </row>
    <row r="127" spans="1:13" x14ac:dyDescent="0.25">
      <c r="A127" s="56"/>
      <c r="J127" s="55"/>
    </row>
    <row r="128" spans="1:13" x14ac:dyDescent="0.25">
      <c r="A128" s="56"/>
      <c r="J128" s="55"/>
    </row>
    <row r="129" spans="1:10" x14ac:dyDescent="0.25">
      <c r="A129" s="56"/>
      <c r="J129" s="55"/>
    </row>
    <row r="130" spans="1:10" x14ac:dyDescent="0.25">
      <c r="A130" s="56"/>
      <c r="J130" s="55"/>
    </row>
    <row r="131" spans="1:10" x14ac:dyDescent="0.25">
      <c r="A131" s="56"/>
      <c r="J131" s="55"/>
    </row>
    <row r="132" spans="1:10" x14ac:dyDescent="0.25">
      <c r="A132" s="56"/>
      <c r="J132" s="55"/>
    </row>
    <row r="133" spans="1:10" x14ac:dyDescent="0.25">
      <c r="A133" s="56"/>
      <c r="J133" s="55"/>
    </row>
    <row r="134" spans="1:10" x14ac:dyDescent="0.25">
      <c r="A134" s="56"/>
      <c r="J134" s="55"/>
    </row>
    <row r="135" spans="1:10" x14ac:dyDescent="0.25">
      <c r="A135" s="56"/>
      <c r="J135" s="55"/>
    </row>
    <row r="136" spans="1:10" x14ac:dyDescent="0.25">
      <c r="A136" s="56"/>
      <c r="J136" s="55"/>
    </row>
    <row r="137" spans="1:10" x14ac:dyDescent="0.25">
      <c r="A137" s="56"/>
      <c r="J137" s="55"/>
    </row>
    <row r="138" spans="1:10" x14ac:dyDescent="0.25">
      <c r="A138" s="56"/>
      <c r="J138" s="55"/>
    </row>
    <row r="139" spans="1:10" x14ac:dyDescent="0.25">
      <c r="A139" s="56"/>
      <c r="J139" s="55"/>
    </row>
    <row r="140" spans="1:10" ht="21" x14ac:dyDescent="0.25">
      <c r="A140" s="416" t="s">
        <v>207</v>
      </c>
      <c r="B140" s="417"/>
      <c r="C140" s="417"/>
      <c r="D140" s="417"/>
      <c r="E140" s="417"/>
      <c r="F140" s="417"/>
      <c r="G140" s="417"/>
      <c r="H140" s="417"/>
      <c r="I140" s="417"/>
      <c r="J140" s="418"/>
    </row>
    <row r="141" spans="1:10" x14ac:dyDescent="0.25">
      <c r="A141" s="56"/>
      <c r="J141" s="55"/>
    </row>
    <row r="142" spans="1:10" x14ac:dyDescent="0.25">
      <c r="A142" s="56"/>
      <c r="J142" s="55"/>
    </row>
    <row r="143" spans="1:10" x14ac:dyDescent="0.25">
      <c r="A143" s="56"/>
      <c r="J143" s="55"/>
    </row>
    <row r="144" spans="1:10" x14ac:dyDescent="0.25">
      <c r="A144" s="56"/>
      <c r="J144" s="55"/>
    </row>
    <row r="145" spans="1:10" x14ac:dyDescent="0.25">
      <c r="A145" s="56"/>
      <c r="J145" s="55"/>
    </row>
    <row r="146" spans="1:10" x14ac:dyDescent="0.25">
      <c r="A146" s="56"/>
      <c r="J146" s="55"/>
    </row>
    <row r="147" spans="1:10" x14ac:dyDescent="0.25">
      <c r="A147" s="56"/>
      <c r="J147" s="55"/>
    </row>
    <row r="148" spans="1:10" x14ac:dyDescent="0.25">
      <c r="A148" s="56"/>
      <c r="J148" s="55"/>
    </row>
    <row r="149" spans="1:10" x14ac:dyDescent="0.25">
      <c r="A149" s="56"/>
      <c r="J149" s="55"/>
    </row>
    <row r="150" spans="1:10" x14ac:dyDescent="0.25">
      <c r="A150" s="56"/>
      <c r="J150" s="55"/>
    </row>
    <row r="151" spans="1:10" x14ac:dyDescent="0.25">
      <c r="A151" s="56"/>
      <c r="J151" s="55"/>
    </row>
    <row r="152" spans="1:10" x14ac:dyDescent="0.25">
      <c r="A152" s="56"/>
      <c r="J152" s="55"/>
    </row>
    <row r="153" spans="1:10" x14ac:dyDescent="0.25">
      <c r="A153" s="56"/>
      <c r="J153" s="55"/>
    </row>
    <row r="154" spans="1:10" x14ac:dyDescent="0.25">
      <c r="A154" s="56"/>
      <c r="J154" s="55"/>
    </row>
    <row r="155" spans="1:10" x14ac:dyDescent="0.25">
      <c r="A155" s="56"/>
      <c r="J155" s="55"/>
    </row>
    <row r="156" spans="1:10" x14ac:dyDescent="0.25">
      <c r="A156" s="56"/>
      <c r="J156" s="55"/>
    </row>
    <row r="157" spans="1:10" x14ac:dyDescent="0.25">
      <c r="A157" s="56"/>
      <c r="J157" s="55"/>
    </row>
    <row r="158" spans="1:10" x14ac:dyDescent="0.25">
      <c r="A158" s="56"/>
      <c r="J158" s="55"/>
    </row>
    <row r="159" spans="1:10" x14ac:dyDescent="0.25">
      <c r="A159" s="56"/>
      <c r="J159" s="55"/>
    </row>
    <row r="160" spans="1:10" x14ac:dyDescent="0.25">
      <c r="A160" s="56"/>
      <c r="J160" s="55"/>
    </row>
    <row r="161" spans="1:10" x14ac:dyDescent="0.25">
      <c r="A161" s="56"/>
      <c r="J161" s="55"/>
    </row>
    <row r="162" spans="1:10" x14ac:dyDescent="0.25">
      <c r="A162" s="56"/>
      <c r="J162" s="55"/>
    </row>
    <row r="163" spans="1:10" x14ac:dyDescent="0.25">
      <c r="A163" s="56"/>
      <c r="J163" s="55"/>
    </row>
    <row r="164" spans="1:10" x14ac:dyDescent="0.25">
      <c r="A164" s="56"/>
      <c r="J164" s="55"/>
    </row>
    <row r="165" spans="1:10" x14ac:dyDescent="0.25">
      <c r="A165" s="56"/>
      <c r="J165" s="55"/>
    </row>
    <row r="166" spans="1:10" x14ac:dyDescent="0.25">
      <c r="A166" s="56"/>
      <c r="J166" s="55"/>
    </row>
    <row r="167" spans="1:10" x14ac:dyDescent="0.25">
      <c r="A167" s="56"/>
      <c r="J167" s="55"/>
    </row>
    <row r="168" spans="1:10" x14ac:dyDescent="0.25">
      <c r="A168" s="56"/>
      <c r="J168" s="55"/>
    </row>
    <row r="169" spans="1:10" ht="15.75" thickBot="1" x14ac:dyDescent="0.3">
      <c r="A169" s="69"/>
      <c r="B169" s="70"/>
      <c r="C169" s="70"/>
      <c r="D169" s="70"/>
      <c r="E169" s="70"/>
      <c r="F169" s="71" t="s">
        <v>247</v>
      </c>
      <c r="G169" s="70"/>
      <c r="H169" s="70"/>
      <c r="I169" s="70"/>
      <c r="J169" s="72"/>
    </row>
  </sheetData>
  <sheetProtection algorithmName="SHA-512" hashValue="FyfmChn+PTuATLitnvKXwOyEcYCdh7j+MSCSG1xXJcvxvACFEBvvcSopBv9c6YVwnKDncOGJfUGn2YphR29bog==" saltValue="sZT6h/WO2Nz6APlrJbLXyA==" spinCount="100000" sheet="1" objects="1" scenarios="1" selectLockedCells="1" selectUnlockedCells="1"/>
  <mergeCells count="11">
    <mergeCell ref="A86:J86"/>
    <mergeCell ref="A94:J94"/>
    <mergeCell ref="D97:J98"/>
    <mergeCell ref="D96:E96"/>
    <mergeCell ref="A140:J140"/>
    <mergeCell ref="A73:J73"/>
    <mergeCell ref="A18:J18"/>
    <mergeCell ref="A24:J24"/>
    <mergeCell ref="A45:J45"/>
    <mergeCell ref="A1:J1"/>
    <mergeCell ref="A72:J7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7C830-99AE-42AB-BBD2-E7CE53EFEC67}">
  <sheetPr codeName="Sheet5"/>
  <dimension ref="A1:P75"/>
  <sheetViews>
    <sheetView zoomScale="85" zoomScaleNormal="85" workbookViewId="0">
      <selection activeCell="O23" sqref="O23"/>
    </sheetView>
  </sheetViews>
  <sheetFormatPr defaultColWidth="9.140625" defaultRowHeight="15" x14ac:dyDescent="0.25"/>
  <cols>
    <col min="1" max="1" width="14.42578125" style="19" customWidth="1"/>
    <col min="2" max="2" width="11.42578125" style="19" customWidth="1"/>
    <col min="3" max="5" width="14.28515625" style="19" bestFit="1" customWidth="1"/>
    <col min="6" max="6" width="14" style="19" bestFit="1" customWidth="1"/>
    <col min="7" max="7" width="13.140625" style="19" bestFit="1" customWidth="1"/>
    <col min="8" max="8" width="13.85546875" style="19" bestFit="1" customWidth="1"/>
    <col min="9" max="9" width="12.42578125" style="19" bestFit="1" customWidth="1"/>
    <col min="10" max="11" width="13.140625" style="19" bestFit="1" customWidth="1"/>
    <col min="12" max="12" width="12.5703125" style="19" bestFit="1" customWidth="1"/>
    <col min="13" max="13" width="13.140625" style="19" bestFit="1" customWidth="1"/>
    <col min="14" max="14" width="11.5703125" style="19" bestFit="1" customWidth="1"/>
    <col min="15" max="16384" width="9.140625" style="19"/>
  </cols>
  <sheetData>
    <row r="1" spans="1:16" ht="19.899999999999999" customHeight="1" x14ac:dyDescent="0.25">
      <c r="A1" s="28" t="s">
        <v>208</v>
      </c>
      <c r="B1" s="29">
        <f>'Design calculator'!C65</f>
        <v>5</v>
      </c>
      <c r="C1" s="30" t="s">
        <v>209</v>
      </c>
    </row>
    <row r="2" spans="1:16" ht="20.45" customHeight="1" x14ac:dyDescent="0.25">
      <c r="A2" s="28" t="s">
        <v>210</v>
      </c>
      <c r="B2" s="29">
        <f>'Design calculator'!C66</f>
        <v>10</v>
      </c>
      <c r="C2" s="30" t="s">
        <v>211</v>
      </c>
    </row>
    <row r="3" spans="1:16" ht="19.899999999999999" customHeight="1" x14ac:dyDescent="0.25">
      <c r="A3" s="28" t="s">
        <v>212</v>
      </c>
      <c r="B3" s="29" t="str">
        <f>'Design calculator'!F19</f>
        <v>Sandy Clay</v>
      </c>
      <c r="C3" s="31"/>
    </row>
    <row r="4" spans="1:16" ht="27.6" customHeight="1" thickBot="1" x14ac:dyDescent="0.3">
      <c r="A4" s="32" t="s">
        <v>268</v>
      </c>
      <c r="B4" s="33">
        <f>((C$7*'Design calculator'!H$6)+(D$7*'Design calculator'!H$7)+(E$7*'Design calculator'!H$9))*_xlfn.XLOOKUP(B$1,'Input-Rainfall Data'!C$9:I$9,'Input-Rainfall Data'!C$15:I$15)/3600</f>
        <v>2.6042729999999996</v>
      </c>
      <c r="C4" s="30" t="s">
        <v>213</v>
      </c>
    </row>
    <row r="5" spans="1:16" ht="60" x14ac:dyDescent="0.25">
      <c r="A5" s="34" t="s">
        <v>214</v>
      </c>
      <c r="B5" s="35" t="str">
        <f xml:space="preserve"> "RAINFALL INTENSITY " &amp; B2 &amp; " YEAR ARI"</f>
        <v>RAINFALL INTENSITY 10 YEAR ARI</v>
      </c>
      <c r="C5" s="35" t="s">
        <v>215</v>
      </c>
      <c r="D5" s="36" t="s">
        <v>216</v>
      </c>
      <c r="E5" s="36" t="s">
        <v>217</v>
      </c>
      <c r="F5" s="36" t="s">
        <v>218</v>
      </c>
      <c r="G5" s="36" t="s">
        <v>219</v>
      </c>
      <c r="H5" s="36" t="s">
        <v>220</v>
      </c>
      <c r="I5" s="36" t="s">
        <v>221</v>
      </c>
      <c r="J5" s="36" t="s">
        <v>222</v>
      </c>
      <c r="K5" s="36" t="s">
        <v>223</v>
      </c>
      <c r="L5" s="36" t="s">
        <v>224</v>
      </c>
      <c r="M5" s="36" t="s">
        <v>225</v>
      </c>
      <c r="N5" s="37" t="s">
        <v>226</v>
      </c>
      <c r="O5" s="38">
        <f>MAX(N7:N75)</f>
        <v>4.8971944560000011</v>
      </c>
      <c r="P5" s="39" t="s">
        <v>64</v>
      </c>
    </row>
    <row r="6" spans="1:16" ht="15.75" thickBot="1" x14ac:dyDescent="0.3">
      <c r="A6" s="40" t="s">
        <v>44</v>
      </c>
      <c r="B6" s="41" t="s">
        <v>46</v>
      </c>
      <c r="C6" s="41" t="s">
        <v>227</v>
      </c>
      <c r="D6" s="41" t="s">
        <v>228</v>
      </c>
      <c r="E6" s="41" t="s">
        <v>229</v>
      </c>
      <c r="F6" s="41" t="s">
        <v>230</v>
      </c>
      <c r="G6" s="41" t="s">
        <v>230</v>
      </c>
      <c r="H6" s="41" t="s">
        <v>230</v>
      </c>
      <c r="I6" s="41" t="s">
        <v>230</v>
      </c>
      <c r="J6" s="41" t="s">
        <v>103</v>
      </c>
      <c r="K6" s="41" t="s">
        <v>64</v>
      </c>
      <c r="L6" s="41" t="s">
        <v>103</v>
      </c>
      <c r="M6" s="41" t="s">
        <v>64</v>
      </c>
      <c r="N6" s="42" t="s">
        <v>64</v>
      </c>
    </row>
    <row r="7" spans="1:16" x14ac:dyDescent="0.25">
      <c r="A7" s="43">
        <f>'Input-Rainfall Data'!O6</f>
        <v>5</v>
      </c>
      <c r="B7" s="44" cm="1">
        <f t="array" ref="B7">_xlfn.XLOOKUP(A7,'Input-Rainfall Data'!$O$6:$O$74,_xlfn.XLOOKUP('OSD Mass-Curve'!$B$2,'Input-Rainfall Data'!$P$4:$V$4,'Input-Rainfall Data'!$P$6:$V$74))</f>
        <v>113</v>
      </c>
      <c r="C7" s="44">
        <f>'Design calculator'!F$32</f>
        <v>1</v>
      </c>
      <c r="D7" s="44">
        <f>'Design calculator'!F$33</f>
        <v>0.9</v>
      </c>
      <c r="E7" s="45">
        <f>'Design calculator'!F$34</f>
        <v>0.24339</v>
      </c>
      <c r="F7" s="46">
        <f>G7+H7</f>
        <v>450</v>
      </c>
      <c r="G7" s="46">
        <f>'Design calculator'!F$6</f>
        <v>300</v>
      </c>
      <c r="H7" s="46">
        <f>'Design calculator'!F$7</f>
        <v>150</v>
      </c>
      <c r="I7" s="46">
        <f>'Design calculator'!F$9</f>
        <v>-50</v>
      </c>
      <c r="J7" s="44">
        <f>((G7*C7)+(H7*D7)+(I7*E7))*B7/3600</f>
        <v>13.272179583333333</v>
      </c>
      <c r="K7" s="44">
        <f>A7*J7*60/1000</f>
        <v>3.9816538749999997</v>
      </c>
      <c r="L7" s="44">
        <f>B$4</f>
        <v>2.6042729999999996</v>
      </c>
      <c r="M7" s="44">
        <f>A7*L7*60/1000</f>
        <v>0.78128189999999986</v>
      </c>
      <c r="N7" s="47">
        <f>K7-M7</f>
        <v>3.2003719749999999</v>
      </c>
    </row>
    <row r="8" spans="1:16" x14ac:dyDescent="0.25">
      <c r="A8" s="43">
        <f>'Input-Rainfall Data'!O7</f>
        <v>5.5</v>
      </c>
      <c r="B8" s="44" cm="1">
        <f t="array" ref="B8">_xlfn.XLOOKUP(A8,'Input-Rainfall Data'!$O$6:$O$74,_xlfn.XLOOKUP('OSD Mass-Curve'!$B$2,'Input-Rainfall Data'!$P$4:$V$4,'Input-Rainfall Data'!$P$6:$V$74))</f>
        <v>110</v>
      </c>
      <c r="C8" s="44">
        <f>'Design calculator'!F$32</f>
        <v>1</v>
      </c>
      <c r="D8" s="44">
        <f>'Design calculator'!F$33</f>
        <v>0.9</v>
      </c>
      <c r="E8" s="45">
        <f>'Design calculator'!F$34</f>
        <v>0.24339</v>
      </c>
      <c r="F8" s="46">
        <f t="shared" ref="F8:F71" si="0">G8+H8</f>
        <v>450</v>
      </c>
      <c r="G8" s="46">
        <f>'Design calculator'!F$6</f>
        <v>300</v>
      </c>
      <c r="H8" s="46">
        <f>'Design calculator'!F$7</f>
        <v>150</v>
      </c>
      <c r="I8" s="46">
        <f>'Design calculator'!F$9</f>
        <v>-50</v>
      </c>
      <c r="J8" s="44">
        <f t="shared" ref="J8:J71" si="1">((G8*C8)+(H8*D8)+(I8*E8))*B8/3600</f>
        <v>12.919820833333334</v>
      </c>
      <c r="K8" s="44">
        <f t="shared" ref="K8:K71" si="2">A8*J8*60/1000</f>
        <v>4.2635408750000003</v>
      </c>
      <c r="L8" s="44">
        <f t="shared" ref="L8:L71" si="3">B$4</f>
        <v>2.6042729999999996</v>
      </c>
      <c r="M8" s="44">
        <f t="shared" ref="M8:M71" si="4">A8*L8*60/1000</f>
        <v>0.8594100899999999</v>
      </c>
      <c r="N8" s="47">
        <f t="shared" ref="N8:N71" si="5">K8-M8</f>
        <v>3.4041307850000004</v>
      </c>
    </row>
    <row r="9" spans="1:16" x14ac:dyDescent="0.25">
      <c r="A9" s="43">
        <f>'Input-Rainfall Data'!O8</f>
        <v>6</v>
      </c>
      <c r="B9" s="44" cm="1">
        <f t="array" ref="B9">_xlfn.XLOOKUP(A9,'Input-Rainfall Data'!$O$6:$O$74,_xlfn.XLOOKUP('OSD Mass-Curve'!$B$2,'Input-Rainfall Data'!$P$4:$V$4,'Input-Rainfall Data'!$P$6:$V$74))</f>
        <v>107</v>
      </c>
      <c r="C9" s="44">
        <f>'Design calculator'!F$32</f>
        <v>1</v>
      </c>
      <c r="D9" s="44">
        <f>'Design calculator'!F$33</f>
        <v>0.9</v>
      </c>
      <c r="E9" s="45">
        <f>'Design calculator'!F$34</f>
        <v>0.24339</v>
      </c>
      <c r="F9" s="46">
        <f t="shared" si="0"/>
        <v>450</v>
      </c>
      <c r="G9" s="46">
        <f>'Design calculator'!F$6</f>
        <v>300</v>
      </c>
      <c r="H9" s="46">
        <f>'Design calculator'!F$7</f>
        <v>150</v>
      </c>
      <c r="I9" s="46">
        <f>'Design calculator'!F$9</f>
        <v>-50</v>
      </c>
      <c r="J9" s="44">
        <f t="shared" si="1"/>
        <v>12.567462083333336</v>
      </c>
      <c r="K9" s="44">
        <f t="shared" si="2"/>
        <v>4.5242863500000006</v>
      </c>
      <c r="L9" s="44">
        <f t="shared" si="3"/>
        <v>2.6042729999999996</v>
      </c>
      <c r="M9" s="44">
        <f t="shared" si="4"/>
        <v>0.93753827999999984</v>
      </c>
      <c r="N9" s="47">
        <f t="shared" si="5"/>
        <v>3.5867480700000005</v>
      </c>
    </row>
    <row r="10" spans="1:16" x14ac:dyDescent="0.25">
      <c r="A10" s="43">
        <f>'Input-Rainfall Data'!O9</f>
        <v>6.5</v>
      </c>
      <c r="B10" s="44" cm="1">
        <f t="array" ref="B10">_xlfn.XLOOKUP(A10,'Input-Rainfall Data'!$O$6:$O$74,_xlfn.XLOOKUP('OSD Mass-Curve'!$B$2,'Input-Rainfall Data'!$P$4:$V$4,'Input-Rainfall Data'!$P$6:$V$74))</f>
        <v>104</v>
      </c>
      <c r="C10" s="44">
        <f>'Design calculator'!F$32</f>
        <v>1</v>
      </c>
      <c r="D10" s="44">
        <f>'Design calculator'!F$33</f>
        <v>0.9</v>
      </c>
      <c r="E10" s="45">
        <f>'Design calculator'!F$34</f>
        <v>0.24339</v>
      </c>
      <c r="F10" s="46">
        <f t="shared" si="0"/>
        <v>450</v>
      </c>
      <c r="G10" s="46">
        <f>'Design calculator'!F$6</f>
        <v>300</v>
      </c>
      <c r="H10" s="46">
        <f>'Design calculator'!F$7</f>
        <v>150</v>
      </c>
      <c r="I10" s="46">
        <f>'Design calculator'!F$9</f>
        <v>-50</v>
      </c>
      <c r="J10" s="44">
        <f t="shared" si="1"/>
        <v>12.215103333333333</v>
      </c>
      <c r="K10" s="44">
        <f t="shared" si="2"/>
        <v>4.7638902999999999</v>
      </c>
      <c r="L10" s="44">
        <f t="shared" si="3"/>
        <v>2.6042729999999996</v>
      </c>
      <c r="M10" s="44">
        <f t="shared" si="4"/>
        <v>1.01566647</v>
      </c>
      <c r="N10" s="47">
        <f t="shared" si="5"/>
        <v>3.7482238299999997</v>
      </c>
    </row>
    <row r="11" spans="1:16" x14ac:dyDescent="0.25">
      <c r="A11" s="43">
        <f>'Input-Rainfall Data'!O10</f>
        <v>7</v>
      </c>
      <c r="B11" s="44" cm="1">
        <f t="array" ref="B11">_xlfn.XLOOKUP(A11,'Input-Rainfall Data'!$O$6:$O$74,_xlfn.XLOOKUP('OSD Mass-Curve'!$B$2,'Input-Rainfall Data'!$P$4:$V$4,'Input-Rainfall Data'!$P$6:$V$74))</f>
        <v>101</v>
      </c>
      <c r="C11" s="44">
        <f>'Design calculator'!F$32</f>
        <v>1</v>
      </c>
      <c r="D11" s="44">
        <f>'Design calculator'!F$33</f>
        <v>0.9</v>
      </c>
      <c r="E11" s="45">
        <f>'Design calculator'!F$34</f>
        <v>0.24339</v>
      </c>
      <c r="F11" s="46">
        <f t="shared" si="0"/>
        <v>450</v>
      </c>
      <c r="G11" s="46">
        <f>'Design calculator'!F$6</f>
        <v>300</v>
      </c>
      <c r="H11" s="46">
        <f>'Design calculator'!F$7</f>
        <v>150</v>
      </c>
      <c r="I11" s="46">
        <f>'Design calculator'!F$9</f>
        <v>-50</v>
      </c>
      <c r="J11" s="44">
        <f t="shared" si="1"/>
        <v>11.862744583333333</v>
      </c>
      <c r="K11" s="44">
        <f t="shared" si="2"/>
        <v>4.9823527250000001</v>
      </c>
      <c r="L11" s="44">
        <f t="shared" si="3"/>
        <v>2.6042729999999996</v>
      </c>
      <c r="M11" s="44">
        <f t="shared" si="4"/>
        <v>1.0937946599999997</v>
      </c>
      <c r="N11" s="47">
        <f t="shared" si="5"/>
        <v>3.8885580650000007</v>
      </c>
    </row>
    <row r="12" spans="1:16" x14ac:dyDescent="0.25">
      <c r="A12" s="43">
        <f>'Input-Rainfall Data'!O11</f>
        <v>7.5</v>
      </c>
      <c r="B12" s="44" cm="1">
        <f t="array" ref="B12">_xlfn.XLOOKUP(A12,'Input-Rainfall Data'!$O$6:$O$74,_xlfn.XLOOKUP('OSD Mass-Curve'!$B$2,'Input-Rainfall Data'!$P$4:$V$4,'Input-Rainfall Data'!$P$6:$V$74))</f>
        <v>98</v>
      </c>
      <c r="C12" s="44">
        <f>'Design calculator'!F$32</f>
        <v>1</v>
      </c>
      <c r="D12" s="44">
        <f>'Design calculator'!F$33</f>
        <v>0.9</v>
      </c>
      <c r="E12" s="45">
        <f>'Design calculator'!F$34</f>
        <v>0.24339</v>
      </c>
      <c r="F12" s="46">
        <f t="shared" si="0"/>
        <v>450</v>
      </c>
      <c r="G12" s="46">
        <f>'Design calculator'!F$6</f>
        <v>300</v>
      </c>
      <c r="H12" s="46">
        <f>'Design calculator'!F$7</f>
        <v>150</v>
      </c>
      <c r="I12" s="46">
        <f>'Design calculator'!F$9</f>
        <v>-50</v>
      </c>
      <c r="J12" s="44">
        <f t="shared" si="1"/>
        <v>11.510385833333334</v>
      </c>
      <c r="K12" s="44">
        <f t="shared" si="2"/>
        <v>5.1796736250000004</v>
      </c>
      <c r="L12" s="44">
        <f t="shared" si="3"/>
        <v>2.6042729999999996</v>
      </c>
      <c r="M12" s="44">
        <f t="shared" si="4"/>
        <v>1.1719228499999998</v>
      </c>
      <c r="N12" s="47">
        <f t="shared" si="5"/>
        <v>4.0077507750000008</v>
      </c>
    </row>
    <row r="13" spans="1:16" x14ac:dyDescent="0.25">
      <c r="A13" s="43">
        <f>'Input-Rainfall Data'!O12</f>
        <v>8</v>
      </c>
      <c r="B13" s="44" cm="1">
        <f t="array" ref="B13">_xlfn.XLOOKUP(A13,'Input-Rainfall Data'!$O$6:$O$74,_xlfn.XLOOKUP('OSD Mass-Curve'!$B$2,'Input-Rainfall Data'!$P$4:$V$4,'Input-Rainfall Data'!$P$6:$V$74))</f>
        <v>95</v>
      </c>
      <c r="C13" s="44">
        <f>'Design calculator'!F$32</f>
        <v>1</v>
      </c>
      <c r="D13" s="44">
        <f>'Design calculator'!F$33</f>
        <v>0.9</v>
      </c>
      <c r="E13" s="45">
        <f>'Design calculator'!F$34</f>
        <v>0.24339</v>
      </c>
      <c r="F13" s="46">
        <f t="shared" si="0"/>
        <v>450</v>
      </c>
      <c r="G13" s="46">
        <f>'Design calculator'!F$6</f>
        <v>300</v>
      </c>
      <c r="H13" s="46">
        <f>'Design calculator'!F$7</f>
        <v>150</v>
      </c>
      <c r="I13" s="46">
        <f>'Design calculator'!F$9</f>
        <v>-50</v>
      </c>
      <c r="J13" s="44">
        <f t="shared" si="1"/>
        <v>11.158027083333335</v>
      </c>
      <c r="K13" s="44">
        <f t="shared" si="2"/>
        <v>5.3558530000000006</v>
      </c>
      <c r="L13" s="44">
        <f t="shared" si="3"/>
        <v>2.6042729999999996</v>
      </c>
      <c r="M13" s="44">
        <f t="shared" si="4"/>
        <v>1.2500510399999998</v>
      </c>
      <c r="N13" s="47">
        <f t="shared" si="5"/>
        <v>4.1058019600000009</v>
      </c>
    </row>
    <row r="14" spans="1:16" x14ac:dyDescent="0.25">
      <c r="A14" s="43">
        <f>'Input-Rainfall Data'!O13</f>
        <v>8.5</v>
      </c>
      <c r="B14" s="44" cm="1">
        <f t="array" ref="B14">_xlfn.XLOOKUP(A14,'Input-Rainfall Data'!$O$6:$O$74,_xlfn.XLOOKUP('OSD Mass-Curve'!$B$2,'Input-Rainfall Data'!$P$4:$V$4,'Input-Rainfall Data'!$P$6:$V$74))</f>
        <v>92</v>
      </c>
      <c r="C14" s="44">
        <f>'Design calculator'!F$32</f>
        <v>1</v>
      </c>
      <c r="D14" s="44">
        <f>'Design calculator'!F$33</f>
        <v>0.9</v>
      </c>
      <c r="E14" s="45">
        <f>'Design calculator'!F$34</f>
        <v>0.24339</v>
      </c>
      <c r="F14" s="46">
        <f t="shared" si="0"/>
        <v>450</v>
      </c>
      <c r="G14" s="46">
        <f>'Design calculator'!F$6</f>
        <v>300</v>
      </c>
      <c r="H14" s="46">
        <f>'Design calculator'!F$7</f>
        <v>150</v>
      </c>
      <c r="I14" s="46">
        <f>'Design calculator'!F$9</f>
        <v>-50</v>
      </c>
      <c r="J14" s="44">
        <f t="shared" si="1"/>
        <v>10.805668333333333</v>
      </c>
      <c r="K14" s="44">
        <f t="shared" si="2"/>
        <v>5.51089085</v>
      </c>
      <c r="L14" s="44">
        <f t="shared" si="3"/>
        <v>2.6042729999999996</v>
      </c>
      <c r="M14" s="44">
        <f t="shared" si="4"/>
        <v>1.3281792299999997</v>
      </c>
      <c r="N14" s="47">
        <f t="shared" si="5"/>
        <v>4.1827116200000001</v>
      </c>
    </row>
    <row r="15" spans="1:16" x14ac:dyDescent="0.25">
      <c r="A15" s="43">
        <f>'Input-Rainfall Data'!O14</f>
        <v>9</v>
      </c>
      <c r="B15" s="44" cm="1">
        <f t="array" ref="B15">_xlfn.XLOOKUP(A15,'Input-Rainfall Data'!$O$6:$O$74,_xlfn.XLOOKUP('OSD Mass-Curve'!$B$2,'Input-Rainfall Data'!$P$4:$V$4,'Input-Rainfall Data'!$P$6:$V$74))</f>
        <v>89</v>
      </c>
      <c r="C15" s="44">
        <f>'Design calculator'!F$32</f>
        <v>1</v>
      </c>
      <c r="D15" s="44">
        <f>'Design calculator'!F$33</f>
        <v>0.9</v>
      </c>
      <c r="E15" s="45">
        <f>'Design calculator'!F$34</f>
        <v>0.24339</v>
      </c>
      <c r="F15" s="46">
        <f t="shared" si="0"/>
        <v>450</v>
      </c>
      <c r="G15" s="46">
        <f>'Design calculator'!F$6</f>
        <v>300</v>
      </c>
      <c r="H15" s="46">
        <f>'Design calculator'!F$7</f>
        <v>150</v>
      </c>
      <c r="I15" s="46">
        <f>'Design calculator'!F$9</f>
        <v>-50</v>
      </c>
      <c r="J15" s="44">
        <f t="shared" si="1"/>
        <v>10.453309583333333</v>
      </c>
      <c r="K15" s="44">
        <f t="shared" si="2"/>
        <v>5.6447871749999994</v>
      </c>
      <c r="L15" s="44">
        <f t="shared" si="3"/>
        <v>2.6042729999999996</v>
      </c>
      <c r="M15" s="44">
        <f t="shared" si="4"/>
        <v>1.4063074199999999</v>
      </c>
      <c r="N15" s="47">
        <f t="shared" si="5"/>
        <v>4.2384797549999993</v>
      </c>
    </row>
    <row r="16" spans="1:16" x14ac:dyDescent="0.25">
      <c r="A16" s="43">
        <f>'Input-Rainfall Data'!O15</f>
        <v>9.5</v>
      </c>
      <c r="B16" s="44" cm="1">
        <f t="array" ref="B16">_xlfn.XLOOKUP(A16,'Input-Rainfall Data'!$O$6:$O$74,_xlfn.XLOOKUP('OSD Mass-Curve'!$B$2,'Input-Rainfall Data'!$P$4:$V$4,'Input-Rainfall Data'!$P$6:$V$74))</f>
        <v>86</v>
      </c>
      <c r="C16" s="44">
        <f>'Design calculator'!F$32</f>
        <v>1</v>
      </c>
      <c r="D16" s="44">
        <f>'Design calculator'!F$33</f>
        <v>0.9</v>
      </c>
      <c r="E16" s="45">
        <f>'Design calculator'!F$34</f>
        <v>0.24339</v>
      </c>
      <c r="F16" s="46">
        <f t="shared" si="0"/>
        <v>450</v>
      </c>
      <c r="G16" s="46">
        <f>'Design calculator'!F$6</f>
        <v>300</v>
      </c>
      <c r="H16" s="46">
        <f>'Design calculator'!F$7</f>
        <v>150</v>
      </c>
      <c r="I16" s="46">
        <f>'Design calculator'!F$9</f>
        <v>-50</v>
      </c>
      <c r="J16" s="44">
        <f t="shared" si="1"/>
        <v>10.100950833333334</v>
      </c>
      <c r="K16" s="44">
        <f t="shared" si="2"/>
        <v>5.7575419750000005</v>
      </c>
      <c r="L16" s="44">
        <f t="shared" si="3"/>
        <v>2.6042729999999996</v>
      </c>
      <c r="M16" s="44">
        <f t="shared" si="4"/>
        <v>1.4844356099999998</v>
      </c>
      <c r="N16" s="47">
        <f t="shared" si="5"/>
        <v>4.2731063650000003</v>
      </c>
    </row>
    <row r="17" spans="1:14" x14ac:dyDescent="0.25">
      <c r="A17" s="43">
        <f>'Input-Rainfall Data'!O16</f>
        <v>10</v>
      </c>
      <c r="B17" s="44" cm="1">
        <f t="array" ref="B17">_xlfn.XLOOKUP(A17,'Input-Rainfall Data'!$O$6:$O$74,_xlfn.XLOOKUP('OSD Mass-Curve'!$B$2,'Input-Rainfall Data'!$P$4:$V$4,'Input-Rainfall Data'!$P$6:$V$74))</f>
        <v>83</v>
      </c>
      <c r="C17" s="44">
        <f>'Design calculator'!F$32</f>
        <v>1</v>
      </c>
      <c r="D17" s="44">
        <f>'Design calculator'!F$33</f>
        <v>0.9</v>
      </c>
      <c r="E17" s="45">
        <f>'Design calculator'!F$34</f>
        <v>0.24339</v>
      </c>
      <c r="F17" s="46">
        <f t="shared" si="0"/>
        <v>450</v>
      </c>
      <c r="G17" s="46">
        <f>'Design calculator'!F$6</f>
        <v>300</v>
      </c>
      <c r="H17" s="46">
        <f>'Design calculator'!F$7</f>
        <v>150</v>
      </c>
      <c r="I17" s="46">
        <f>'Design calculator'!F$9</f>
        <v>-50</v>
      </c>
      <c r="J17" s="44">
        <f t="shared" si="1"/>
        <v>9.7485920833333353</v>
      </c>
      <c r="K17" s="44">
        <f t="shared" si="2"/>
        <v>5.8491552500000017</v>
      </c>
      <c r="L17" s="44">
        <f t="shared" si="3"/>
        <v>2.6042729999999996</v>
      </c>
      <c r="M17" s="44">
        <f t="shared" si="4"/>
        <v>1.5625637999999997</v>
      </c>
      <c r="N17" s="47">
        <f t="shared" si="5"/>
        <v>4.2865914500000022</v>
      </c>
    </row>
    <row r="18" spans="1:14" x14ac:dyDescent="0.25">
      <c r="A18" s="43">
        <f>'Input-Rainfall Data'!O17</f>
        <v>10.5</v>
      </c>
      <c r="B18" s="44" cm="1">
        <f t="array" ref="B18">_xlfn.XLOOKUP(A18,'Input-Rainfall Data'!$O$6:$O$74,_xlfn.XLOOKUP('OSD Mass-Curve'!$B$2,'Input-Rainfall Data'!$P$4:$V$4,'Input-Rainfall Data'!$P$6:$V$74))</f>
        <v>81.39</v>
      </c>
      <c r="C18" s="44">
        <f>'Design calculator'!F$32</f>
        <v>1</v>
      </c>
      <c r="D18" s="44">
        <f>'Design calculator'!F$33</f>
        <v>0.9</v>
      </c>
      <c r="E18" s="45">
        <f>'Design calculator'!F$34</f>
        <v>0.24339</v>
      </c>
      <c r="F18" s="46">
        <f t="shared" si="0"/>
        <v>450</v>
      </c>
      <c r="G18" s="46">
        <f>'Design calculator'!F$6</f>
        <v>300</v>
      </c>
      <c r="H18" s="46">
        <f>'Design calculator'!F$7</f>
        <v>150</v>
      </c>
      <c r="I18" s="46">
        <f>'Design calculator'!F$9</f>
        <v>-50</v>
      </c>
      <c r="J18" s="44">
        <f t="shared" si="1"/>
        <v>9.5594928875000011</v>
      </c>
      <c r="K18" s="44">
        <f t="shared" si="2"/>
        <v>6.0224805191250006</v>
      </c>
      <c r="L18" s="44">
        <f t="shared" si="3"/>
        <v>2.6042729999999996</v>
      </c>
      <c r="M18" s="44">
        <f t="shared" si="4"/>
        <v>1.6406919899999999</v>
      </c>
      <c r="N18" s="47">
        <f t="shared" si="5"/>
        <v>4.3817885291250009</v>
      </c>
    </row>
    <row r="19" spans="1:14" x14ac:dyDescent="0.25">
      <c r="A19" s="43">
        <f>'Input-Rainfall Data'!O18</f>
        <v>11</v>
      </c>
      <c r="B19" s="44" cm="1">
        <f t="array" ref="B19">_xlfn.XLOOKUP(A19,'Input-Rainfall Data'!$O$6:$O$74,_xlfn.XLOOKUP('OSD Mass-Curve'!$B$2,'Input-Rainfall Data'!$P$4:$V$4,'Input-Rainfall Data'!$P$6:$V$74))</f>
        <v>79.78</v>
      </c>
      <c r="C19" s="44">
        <f>'Design calculator'!F$32</f>
        <v>1</v>
      </c>
      <c r="D19" s="44">
        <f>'Design calculator'!F$33</f>
        <v>0.9</v>
      </c>
      <c r="E19" s="45">
        <f>'Design calculator'!F$34</f>
        <v>0.24339</v>
      </c>
      <c r="F19" s="46">
        <f t="shared" si="0"/>
        <v>450</v>
      </c>
      <c r="G19" s="46">
        <f>'Design calculator'!F$6</f>
        <v>300</v>
      </c>
      <c r="H19" s="46">
        <f>'Design calculator'!F$7</f>
        <v>150</v>
      </c>
      <c r="I19" s="46">
        <f>'Design calculator'!F$9</f>
        <v>-50</v>
      </c>
      <c r="J19" s="44">
        <f t="shared" si="1"/>
        <v>9.3703936916666688</v>
      </c>
      <c r="K19" s="44">
        <f t="shared" si="2"/>
        <v>6.1844598365000012</v>
      </c>
      <c r="L19" s="44">
        <f t="shared" si="3"/>
        <v>2.6042729999999996</v>
      </c>
      <c r="M19" s="44">
        <f t="shared" si="4"/>
        <v>1.7188201799999998</v>
      </c>
      <c r="N19" s="47">
        <f t="shared" si="5"/>
        <v>4.4656396565000014</v>
      </c>
    </row>
    <row r="20" spans="1:14" x14ac:dyDescent="0.25">
      <c r="A20" s="43">
        <f>'Input-Rainfall Data'!O19</f>
        <v>11.5</v>
      </c>
      <c r="B20" s="44" cm="1">
        <f t="array" ref="B20">_xlfn.XLOOKUP(A20,'Input-Rainfall Data'!$O$6:$O$74,_xlfn.XLOOKUP('OSD Mass-Curve'!$B$2,'Input-Rainfall Data'!$P$4:$V$4,'Input-Rainfall Data'!$P$6:$V$74))</f>
        <v>78.17</v>
      </c>
      <c r="C20" s="44">
        <f>'Design calculator'!F$32</f>
        <v>1</v>
      </c>
      <c r="D20" s="44">
        <f>'Design calculator'!F$33</f>
        <v>0.9</v>
      </c>
      <c r="E20" s="45">
        <f>'Design calculator'!F$34</f>
        <v>0.24339</v>
      </c>
      <c r="F20" s="46">
        <f t="shared" si="0"/>
        <v>450</v>
      </c>
      <c r="G20" s="46">
        <f>'Design calculator'!F$6</f>
        <v>300</v>
      </c>
      <c r="H20" s="46">
        <f>'Design calculator'!F$7</f>
        <v>150</v>
      </c>
      <c r="I20" s="46">
        <f>'Design calculator'!F$9</f>
        <v>-50</v>
      </c>
      <c r="J20" s="44">
        <f t="shared" si="1"/>
        <v>9.1812944958333329</v>
      </c>
      <c r="K20" s="44">
        <f t="shared" si="2"/>
        <v>6.335093202124999</v>
      </c>
      <c r="L20" s="44">
        <f t="shared" si="3"/>
        <v>2.6042729999999996</v>
      </c>
      <c r="M20" s="44">
        <f t="shared" si="4"/>
        <v>1.7969483699999995</v>
      </c>
      <c r="N20" s="47">
        <f t="shared" si="5"/>
        <v>4.5381448321249991</v>
      </c>
    </row>
    <row r="21" spans="1:14" x14ac:dyDescent="0.25">
      <c r="A21" s="43">
        <f>'Input-Rainfall Data'!O20</f>
        <v>12</v>
      </c>
      <c r="B21" s="44" cm="1">
        <f t="array" ref="B21">_xlfn.XLOOKUP(A21,'Input-Rainfall Data'!$O$6:$O$74,_xlfn.XLOOKUP('OSD Mass-Curve'!$B$2,'Input-Rainfall Data'!$P$4:$V$4,'Input-Rainfall Data'!$P$6:$V$74))</f>
        <v>76.56</v>
      </c>
      <c r="C21" s="44">
        <f>'Design calculator'!F$32</f>
        <v>1</v>
      </c>
      <c r="D21" s="44">
        <f>'Design calculator'!F$33</f>
        <v>0.9</v>
      </c>
      <c r="E21" s="45">
        <f>'Design calculator'!F$34</f>
        <v>0.24339</v>
      </c>
      <c r="F21" s="46">
        <f t="shared" si="0"/>
        <v>450</v>
      </c>
      <c r="G21" s="46">
        <f>'Design calculator'!F$6</f>
        <v>300</v>
      </c>
      <c r="H21" s="46">
        <f>'Design calculator'!F$7</f>
        <v>150</v>
      </c>
      <c r="I21" s="46">
        <f>'Design calculator'!F$9</f>
        <v>-50</v>
      </c>
      <c r="J21" s="44">
        <f t="shared" si="1"/>
        <v>8.9921953000000006</v>
      </c>
      <c r="K21" s="44">
        <f t="shared" si="2"/>
        <v>6.4743806160000004</v>
      </c>
      <c r="L21" s="44">
        <f t="shared" si="3"/>
        <v>2.6042729999999996</v>
      </c>
      <c r="M21" s="44">
        <f t="shared" si="4"/>
        <v>1.8750765599999997</v>
      </c>
      <c r="N21" s="47">
        <f t="shared" si="5"/>
        <v>4.5993040560000011</v>
      </c>
    </row>
    <row r="22" spans="1:14" x14ac:dyDescent="0.25">
      <c r="A22" s="43">
        <f>'Input-Rainfall Data'!O21</f>
        <v>12.5</v>
      </c>
      <c r="B22" s="44" cm="1">
        <f t="array" ref="B22">_xlfn.XLOOKUP(A22,'Input-Rainfall Data'!$O$6:$O$74,_xlfn.XLOOKUP('OSD Mass-Curve'!$B$2,'Input-Rainfall Data'!$P$4:$V$4,'Input-Rainfall Data'!$P$6:$V$74))</f>
        <v>74.95</v>
      </c>
      <c r="C22" s="44">
        <f>'Design calculator'!F$32</f>
        <v>1</v>
      </c>
      <c r="D22" s="44">
        <f>'Design calculator'!F$33</f>
        <v>0.9</v>
      </c>
      <c r="E22" s="45">
        <f>'Design calculator'!F$34</f>
        <v>0.24339</v>
      </c>
      <c r="F22" s="46">
        <f t="shared" si="0"/>
        <v>450</v>
      </c>
      <c r="G22" s="46">
        <f>'Design calculator'!F$6</f>
        <v>300</v>
      </c>
      <c r="H22" s="46">
        <f>'Design calculator'!F$7</f>
        <v>150</v>
      </c>
      <c r="I22" s="46">
        <f>'Design calculator'!F$9</f>
        <v>-50</v>
      </c>
      <c r="J22" s="44">
        <f t="shared" si="1"/>
        <v>8.8030961041666682</v>
      </c>
      <c r="K22" s="44">
        <f t="shared" si="2"/>
        <v>6.6023220781250007</v>
      </c>
      <c r="L22" s="44">
        <f t="shared" si="3"/>
        <v>2.6042729999999996</v>
      </c>
      <c r="M22" s="44">
        <f t="shared" si="4"/>
        <v>1.9532047499999996</v>
      </c>
      <c r="N22" s="47">
        <f t="shared" si="5"/>
        <v>4.6491173281250013</v>
      </c>
    </row>
    <row r="23" spans="1:14" x14ac:dyDescent="0.25">
      <c r="A23" s="43">
        <f>'Input-Rainfall Data'!O22</f>
        <v>13</v>
      </c>
      <c r="B23" s="44" cm="1">
        <f t="array" ref="B23">_xlfn.XLOOKUP(A23,'Input-Rainfall Data'!$O$6:$O$74,_xlfn.XLOOKUP('OSD Mass-Curve'!$B$2,'Input-Rainfall Data'!$P$4:$V$4,'Input-Rainfall Data'!$P$6:$V$74))</f>
        <v>73.34</v>
      </c>
      <c r="C23" s="44">
        <f>'Design calculator'!F$32</f>
        <v>1</v>
      </c>
      <c r="D23" s="44">
        <f>'Design calculator'!F$33</f>
        <v>0.9</v>
      </c>
      <c r="E23" s="45">
        <f>'Design calculator'!F$34</f>
        <v>0.24339</v>
      </c>
      <c r="F23" s="46">
        <f t="shared" si="0"/>
        <v>450</v>
      </c>
      <c r="G23" s="46">
        <f>'Design calculator'!F$6</f>
        <v>300</v>
      </c>
      <c r="H23" s="46">
        <f>'Design calculator'!F$7</f>
        <v>150</v>
      </c>
      <c r="I23" s="46">
        <f>'Design calculator'!F$9</f>
        <v>-50</v>
      </c>
      <c r="J23" s="44">
        <f t="shared" si="1"/>
        <v>8.6139969083333341</v>
      </c>
      <c r="K23" s="44">
        <f t="shared" si="2"/>
        <v>6.7189175885000001</v>
      </c>
      <c r="L23" s="44">
        <f t="shared" si="3"/>
        <v>2.6042729999999996</v>
      </c>
      <c r="M23" s="44">
        <f t="shared" si="4"/>
        <v>2.03133294</v>
      </c>
      <c r="N23" s="47">
        <f t="shared" si="5"/>
        <v>4.6875846484999997</v>
      </c>
    </row>
    <row r="24" spans="1:14" x14ac:dyDescent="0.25">
      <c r="A24" s="43">
        <f>'Input-Rainfall Data'!O23</f>
        <v>13.5</v>
      </c>
      <c r="B24" s="44" cm="1">
        <f t="array" ref="B24">_xlfn.XLOOKUP(A24,'Input-Rainfall Data'!$O$6:$O$74,_xlfn.XLOOKUP('OSD Mass-Curve'!$B$2,'Input-Rainfall Data'!$P$4:$V$4,'Input-Rainfall Data'!$P$6:$V$74))</f>
        <v>71.73</v>
      </c>
      <c r="C24" s="44">
        <f>'Design calculator'!F$32</f>
        <v>1</v>
      </c>
      <c r="D24" s="44">
        <f>'Design calculator'!F$33</f>
        <v>0.9</v>
      </c>
      <c r="E24" s="45">
        <f>'Design calculator'!F$34</f>
        <v>0.24339</v>
      </c>
      <c r="F24" s="46">
        <f t="shared" si="0"/>
        <v>450</v>
      </c>
      <c r="G24" s="46">
        <f>'Design calculator'!F$6</f>
        <v>300</v>
      </c>
      <c r="H24" s="46">
        <f>'Design calculator'!F$7</f>
        <v>150</v>
      </c>
      <c r="I24" s="46">
        <f>'Design calculator'!F$9</f>
        <v>-50</v>
      </c>
      <c r="J24" s="44">
        <f t="shared" si="1"/>
        <v>8.4248977125000017</v>
      </c>
      <c r="K24" s="44">
        <f t="shared" si="2"/>
        <v>6.8241671471250012</v>
      </c>
      <c r="L24" s="44">
        <f t="shared" si="3"/>
        <v>2.6042729999999996</v>
      </c>
      <c r="M24" s="44">
        <f t="shared" si="4"/>
        <v>2.1094611299999997</v>
      </c>
      <c r="N24" s="47">
        <f t="shared" si="5"/>
        <v>4.7147060171250015</v>
      </c>
    </row>
    <row r="25" spans="1:14" x14ac:dyDescent="0.25">
      <c r="A25" s="43">
        <f>'Input-Rainfall Data'!O24</f>
        <v>14</v>
      </c>
      <c r="B25" s="44" cm="1">
        <f t="array" ref="B25">_xlfn.XLOOKUP(A25,'Input-Rainfall Data'!$O$6:$O$74,_xlfn.XLOOKUP('OSD Mass-Curve'!$B$2,'Input-Rainfall Data'!$P$4:$V$4,'Input-Rainfall Data'!$P$6:$V$74))</f>
        <v>70.12</v>
      </c>
      <c r="C25" s="44">
        <f>'Design calculator'!F$32</f>
        <v>1</v>
      </c>
      <c r="D25" s="44">
        <f>'Design calculator'!F$33</f>
        <v>0.9</v>
      </c>
      <c r="E25" s="45">
        <f>'Design calculator'!F$34</f>
        <v>0.24339</v>
      </c>
      <c r="F25" s="46">
        <f t="shared" si="0"/>
        <v>450</v>
      </c>
      <c r="G25" s="46">
        <f>'Design calculator'!F$6</f>
        <v>300</v>
      </c>
      <c r="H25" s="46">
        <f>'Design calculator'!F$7</f>
        <v>150</v>
      </c>
      <c r="I25" s="46">
        <f>'Design calculator'!F$9</f>
        <v>-50</v>
      </c>
      <c r="J25" s="44">
        <f t="shared" si="1"/>
        <v>8.2357985166666676</v>
      </c>
      <c r="K25" s="44">
        <f t="shared" si="2"/>
        <v>6.9180707540000004</v>
      </c>
      <c r="L25" s="44">
        <f t="shared" si="3"/>
        <v>2.6042729999999996</v>
      </c>
      <c r="M25" s="44">
        <f t="shared" si="4"/>
        <v>2.1875893199999994</v>
      </c>
      <c r="N25" s="47">
        <f t="shared" si="5"/>
        <v>4.7304814340000014</v>
      </c>
    </row>
    <row r="26" spans="1:14" x14ac:dyDescent="0.25">
      <c r="A26" s="43">
        <f>'Input-Rainfall Data'!O25</f>
        <v>14.5</v>
      </c>
      <c r="B26" s="44" cm="1">
        <f t="array" ref="B26">_xlfn.XLOOKUP(A26,'Input-Rainfall Data'!$O$6:$O$74,_xlfn.XLOOKUP('OSD Mass-Curve'!$B$2,'Input-Rainfall Data'!$P$4:$V$4,'Input-Rainfall Data'!$P$6:$V$74))</f>
        <v>68.510000000000005</v>
      </c>
      <c r="C26" s="44">
        <f>'Design calculator'!F$32</f>
        <v>1</v>
      </c>
      <c r="D26" s="44">
        <f>'Design calculator'!F$33</f>
        <v>0.9</v>
      </c>
      <c r="E26" s="45">
        <f>'Design calculator'!F$34</f>
        <v>0.24339</v>
      </c>
      <c r="F26" s="46">
        <f t="shared" si="0"/>
        <v>450</v>
      </c>
      <c r="G26" s="46">
        <f>'Design calculator'!F$6</f>
        <v>300</v>
      </c>
      <c r="H26" s="46">
        <f>'Design calculator'!F$7</f>
        <v>150</v>
      </c>
      <c r="I26" s="46">
        <f>'Design calculator'!F$9</f>
        <v>-50</v>
      </c>
      <c r="J26" s="44">
        <f t="shared" si="1"/>
        <v>8.0466993208333353</v>
      </c>
      <c r="K26" s="44">
        <f t="shared" si="2"/>
        <v>7.0006284091250022</v>
      </c>
      <c r="L26" s="44">
        <f t="shared" si="3"/>
        <v>2.6042729999999996</v>
      </c>
      <c r="M26" s="44">
        <f t="shared" si="4"/>
        <v>2.2657175099999995</v>
      </c>
      <c r="N26" s="47">
        <f t="shared" si="5"/>
        <v>4.7349108991250031</v>
      </c>
    </row>
    <row r="27" spans="1:14" x14ac:dyDescent="0.25">
      <c r="A27" s="43">
        <f>'Input-Rainfall Data'!O26</f>
        <v>15</v>
      </c>
      <c r="B27" s="44" cm="1">
        <f t="array" ref="B27">_xlfn.XLOOKUP(A27,'Input-Rainfall Data'!$O$6:$O$74,_xlfn.XLOOKUP('OSD Mass-Curve'!$B$2,'Input-Rainfall Data'!$P$4:$V$4,'Input-Rainfall Data'!$P$6:$V$74))</f>
        <v>66.900000000000006</v>
      </c>
      <c r="C27" s="44">
        <f>'Design calculator'!F$32</f>
        <v>1</v>
      </c>
      <c r="D27" s="44">
        <f>'Design calculator'!F$33</f>
        <v>0.9</v>
      </c>
      <c r="E27" s="45">
        <f>'Design calculator'!F$34</f>
        <v>0.24339</v>
      </c>
      <c r="F27" s="46">
        <f t="shared" si="0"/>
        <v>450</v>
      </c>
      <c r="G27" s="46">
        <f>'Design calculator'!F$6</f>
        <v>300</v>
      </c>
      <c r="H27" s="46">
        <f>'Design calculator'!F$7</f>
        <v>150</v>
      </c>
      <c r="I27" s="46">
        <f>'Design calculator'!F$9</f>
        <v>-50</v>
      </c>
      <c r="J27" s="44">
        <f t="shared" si="1"/>
        <v>7.8576001250000012</v>
      </c>
      <c r="K27" s="44">
        <f t="shared" si="2"/>
        <v>7.0718401125000012</v>
      </c>
      <c r="L27" s="44">
        <f t="shared" si="3"/>
        <v>2.6042729999999996</v>
      </c>
      <c r="M27" s="44">
        <f t="shared" si="4"/>
        <v>2.3438456999999997</v>
      </c>
      <c r="N27" s="47">
        <f t="shared" si="5"/>
        <v>4.7279944125000011</v>
      </c>
    </row>
    <row r="28" spans="1:14" x14ac:dyDescent="0.25">
      <c r="A28" s="43">
        <f>'Input-Rainfall Data'!O27</f>
        <v>15.5</v>
      </c>
      <c r="B28" s="44" cm="1">
        <f t="array" ref="B28">_xlfn.XLOOKUP(A28,'Input-Rainfall Data'!$O$6:$O$74,_xlfn.XLOOKUP('OSD Mass-Curve'!$B$2,'Input-Rainfall Data'!$P$4:$V$4,'Input-Rainfall Data'!$P$6:$V$74))</f>
        <v>65.87</v>
      </c>
      <c r="C28" s="44">
        <f>'Design calculator'!F$32</f>
        <v>1</v>
      </c>
      <c r="D28" s="44">
        <f>'Design calculator'!F$33</f>
        <v>0.9</v>
      </c>
      <c r="E28" s="45">
        <f>'Design calculator'!F$34</f>
        <v>0.24339</v>
      </c>
      <c r="F28" s="46">
        <f t="shared" si="0"/>
        <v>450</v>
      </c>
      <c r="G28" s="46">
        <f>'Design calculator'!F$6</f>
        <v>300</v>
      </c>
      <c r="H28" s="46">
        <f>'Design calculator'!F$7</f>
        <v>150</v>
      </c>
      <c r="I28" s="46">
        <f>'Design calculator'!F$9</f>
        <v>-50</v>
      </c>
      <c r="J28" s="44">
        <f t="shared" si="1"/>
        <v>7.7366236208333339</v>
      </c>
      <c r="K28" s="44">
        <f t="shared" si="2"/>
        <v>7.1950599673750002</v>
      </c>
      <c r="L28" s="44">
        <f t="shared" si="3"/>
        <v>2.6042729999999996</v>
      </c>
      <c r="M28" s="44">
        <f t="shared" si="4"/>
        <v>2.4219738899999994</v>
      </c>
      <c r="N28" s="47">
        <f t="shared" si="5"/>
        <v>4.7730860773750008</v>
      </c>
    </row>
    <row r="29" spans="1:14" x14ac:dyDescent="0.25">
      <c r="A29" s="43">
        <f>'Input-Rainfall Data'!O28</f>
        <v>16</v>
      </c>
      <c r="B29" s="44" cm="1">
        <f t="array" ref="B29">_xlfn.XLOOKUP(A29,'Input-Rainfall Data'!$O$6:$O$74,_xlfn.XLOOKUP('OSD Mass-Curve'!$B$2,'Input-Rainfall Data'!$P$4:$V$4,'Input-Rainfall Data'!$P$6:$V$74))</f>
        <v>64.84</v>
      </c>
      <c r="C29" s="44">
        <f>'Design calculator'!F$32</f>
        <v>1</v>
      </c>
      <c r="D29" s="44">
        <f>'Design calculator'!F$33</f>
        <v>0.9</v>
      </c>
      <c r="E29" s="45">
        <f>'Design calculator'!F$34</f>
        <v>0.24339</v>
      </c>
      <c r="F29" s="46">
        <f t="shared" si="0"/>
        <v>450</v>
      </c>
      <c r="G29" s="46">
        <f>'Design calculator'!F$6</f>
        <v>300</v>
      </c>
      <c r="H29" s="46">
        <f>'Design calculator'!F$7</f>
        <v>150</v>
      </c>
      <c r="I29" s="46">
        <f>'Design calculator'!F$9</f>
        <v>-50</v>
      </c>
      <c r="J29" s="44">
        <f t="shared" si="1"/>
        <v>7.6156471166666675</v>
      </c>
      <c r="K29" s="44">
        <f t="shared" si="2"/>
        <v>7.3110212320000008</v>
      </c>
      <c r="L29" s="44">
        <f t="shared" si="3"/>
        <v>2.6042729999999996</v>
      </c>
      <c r="M29" s="44">
        <f t="shared" si="4"/>
        <v>2.5001020799999996</v>
      </c>
      <c r="N29" s="47">
        <f t="shared" si="5"/>
        <v>4.8109191520000012</v>
      </c>
    </row>
    <row r="30" spans="1:14" x14ac:dyDescent="0.25">
      <c r="A30" s="43">
        <f>'Input-Rainfall Data'!O29</f>
        <v>16.5</v>
      </c>
      <c r="B30" s="44" cm="1">
        <f t="array" ref="B30">_xlfn.XLOOKUP(A30,'Input-Rainfall Data'!$O$6:$O$74,_xlfn.XLOOKUP('OSD Mass-Curve'!$B$2,'Input-Rainfall Data'!$P$4:$V$4,'Input-Rainfall Data'!$P$6:$V$74))</f>
        <v>63.81</v>
      </c>
      <c r="C30" s="44">
        <f>'Design calculator'!F$32</f>
        <v>1</v>
      </c>
      <c r="D30" s="44">
        <f>'Design calculator'!F$33</f>
        <v>0.9</v>
      </c>
      <c r="E30" s="45">
        <f>'Design calculator'!F$34</f>
        <v>0.24339</v>
      </c>
      <c r="F30" s="46">
        <f t="shared" si="0"/>
        <v>450</v>
      </c>
      <c r="G30" s="46">
        <f>'Design calculator'!F$6</f>
        <v>300</v>
      </c>
      <c r="H30" s="46">
        <f>'Design calculator'!F$7</f>
        <v>150</v>
      </c>
      <c r="I30" s="46">
        <f>'Design calculator'!F$9</f>
        <v>-50</v>
      </c>
      <c r="J30" s="44">
        <f t="shared" si="1"/>
        <v>7.4946706125000011</v>
      </c>
      <c r="K30" s="44">
        <f t="shared" si="2"/>
        <v>7.4197239063750002</v>
      </c>
      <c r="L30" s="44">
        <f t="shared" si="3"/>
        <v>2.6042729999999996</v>
      </c>
      <c r="M30" s="44">
        <f t="shared" si="4"/>
        <v>2.5782302700000002</v>
      </c>
      <c r="N30" s="47">
        <f t="shared" si="5"/>
        <v>4.8414936363750005</v>
      </c>
    </row>
    <row r="31" spans="1:14" x14ac:dyDescent="0.25">
      <c r="A31" s="43">
        <f>'Input-Rainfall Data'!O30</f>
        <v>17</v>
      </c>
      <c r="B31" s="44" cm="1">
        <f t="array" ref="B31">_xlfn.XLOOKUP(A31,'Input-Rainfall Data'!$O$6:$O$74,_xlfn.XLOOKUP('OSD Mass-Curve'!$B$2,'Input-Rainfall Data'!$P$4:$V$4,'Input-Rainfall Data'!$P$6:$V$74))</f>
        <v>62.78</v>
      </c>
      <c r="C31" s="44">
        <f>'Design calculator'!F$32</f>
        <v>1</v>
      </c>
      <c r="D31" s="44">
        <f>'Design calculator'!F$33</f>
        <v>0.9</v>
      </c>
      <c r="E31" s="45">
        <f>'Design calculator'!F$34</f>
        <v>0.24339</v>
      </c>
      <c r="F31" s="46">
        <f t="shared" si="0"/>
        <v>450</v>
      </c>
      <c r="G31" s="46">
        <f>'Design calculator'!F$6</f>
        <v>300</v>
      </c>
      <c r="H31" s="46">
        <f>'Design calculator'!F$7</f>
        <v>150</v>
      </c>
      <c r="I31" s="46">
        <f>'Design calculator'!F$9</f>
        <v>-50</v>
      </c>
      <c r="J31" s="44">
        <f t="shared" si="1"/>
        <v>7.3736941083333338</v>
      </c>
      <c r="K31" s="44">
        <f t="shared" si="2"/>
        <v>7.5211679905000013</v>
      </c>
      <c r="L31" s="44">
        <f t="shared" si="3"/>
        <v>2.6042729999999996</v>
      </c>
      <c r="M31" s="44">
        <f t="shared" si="4"/>
        <v>2.6563584599999994</v>
      </c>
      <c r="N31" s="47">
        <f t="shared" si="5"/>
        <v>4.8648095305000023</v>
      </c>
    </row>
    <row r="32" spans="1:14" x14ac:dyDescent="0.25">
      <c r="A32" s="43">
        <f>'Input-Rainfall Data'!O31</f>
        <v>17.5</v>
      </c>
      <c r="B32" s="44" cm="1">
        <f t="array" ref="B32">_xlfn.XLOOKUP(A32,'Input-Rainfall Data'!$O$6:$O$74,_xlfn.XLOOKUP('OSD Mass-Curve'!$B$2,'Input-Rainfall Data'!$P$4:$V$4,'Input-Rainfall Data'!$P$6:$V$74))</f>
        <v>61.75</v>
      </c>
      <c r="C32" s="44">
        <f>'Design calculator'!F$32</f>
        <v>1</v>
      </c>
      <c r="D32" s="44">
        <f>'Design calculator'!F$33</f>
        <v>0.9</v>
      </c>
      <c r="E32" s="45">
        <f>'Design calculator'!F$34</f>
        <v>0.24339</v>
      </c>
      <c r="F32" s="46">
        <f t="shared" si="0"/>
        <v>450</v>
      </c>
      <c r="G32" s="46">
        <f>'Design calculator'!F$6</f>
        <v>300</v>
      </c>
      <c r="H32" s="46">
        <f>'Design calculator'!F$7</f>
        <v>150</v>
      </c>
      <c r="I32" s="46">
        <f>'Design calculator'!F$9</f>
        <v>-50</v>
      </c>
      <c r="J32" s="44">
        <f t="shared" si="1"/>
        <v>7.2527176041666674</v>
      </c>
      <c r="K32" s="44">
        <f t="shared" si="2"/>
        <v>7.6153534843750013</v>
      </c>
      <c r="L32" s="44">
        <f t="shared" si="3"/>
        <v>2.6042729999999996</v>
      </c>
      <c r="M32" s="44">
        <f t="shared" si="4"/>
        <v>2.73448665</v>
      </c>
      <c r="N32" s="47">
        <f t="shared" si="5"/>
        <v>4.8808668343750012</v>
      </c>
    </row>
    <row r="33" spans="1:14" x14ac:dyDescent="0.25">
      <c r="A33" s="43">
        <f>'Input-Rainfall Data'!O32</f>
        <v>18</v>
      </c>
      <c r="B33" s="44" cm="1">
        <f t="array" ref="B33">_xlfn.XLOOKUP(A33,'Input-Rainfall Data'!$O$6:$O$74,_xlfn.XLOOKUP('OSD Mass-Curve'!$B$2,'Input-Rainfall Data'!$P$4:$V$4,'Input-Rainfall Data'!$P$6:$V$74))</f>
        <v>60.72</v>
      </c>
      <c r="C33" s="44">
        <f>'Design calculator'!F$32</f>
        <v>1</v>
      </c>
      <c r="D33" s="44">
        <f>'Design calculator'!F$33</f>
        <v>0.9</v>
      </c>
      <c r="E33" s="45">
        <f>'Design calculator'!F$34</f>
        <v>0.24339</v>
      </c>
      <c r="F33" s="46">
        <f t="shared" si="0"/>
        <v>450</v>
      </c>
      <c r="G33" s="46">
        <f>'Design calculator'!F$6</f>
        <v>300</v>
      </c>
      <c r="H33" s="46">
        <f>'Design calculator'!F$7</f>
        <v>150</v>
      </c>
      <c r="I33" s="46">
        <f>'Design calculator'!F$9</f>
        <v>-50</v>
      </c>
      <c r="J33" s="44">
        <f t="shared" si="1"/>
        <v>7.1317411000000002</v>
      </c>
      <c r="K33" s="44">
        <f t="shared" si="2"/>
        <v>7.702280388000001</v>
      </c>
      <c r="L33" s="44">
        <f t="shared" si="3"/>
        <v>2.6042729999999996</v>
      </c>
      <c r="M33" s="44">
        <f t="shared" si="4"/>
        <v>2.8126148399999997</v>
      </c>
      <c r="N33" s="47">
        <f t="shared" si="5"/>
        <v>4.8896655480000017</v>
      </c>
    </row>
    <row r="34" spans="1:14" x14ac:dyDescent="0.25">
      <c r="A34" s="43">
        <f>'Input-Rainfall Data'!O33</f>
        <v>18.5</v>
      </c>
      <c r="B34" s="44" cm="1">
        <f t="array" ref="B34">_xlfn.XLOOKUP(A34,'Input-Rainfall Data'!$O$6:$O$74,_xlfn.XLOOKUP('OSD Mass-Curve'!$B$2,'Input-Rainfall Data'!$P$4:$V$4,'Input-Rainfall Data'!$P$6:$V$74))</f>
        <v>59.69</v>
      </c>
      <c r="C34" s="44">
        <f>'Design calculator'!F$32</f>
        <v>1</v>
      </c>
      <c r="D34" s="44">
        <f>'Design calculator'!F$33</f>
        <v>0.9</v>
      </c>
      <c r="E34" s="45">
        <f>'Design calculator'!F$34</f>
        <v>0.24339</v>
      </c>
      <c r="F34" s="46">
        <f t="shared" si="0"/>
        <v>450</v>
      </c>
      <c r="G34" s="46">
        <f>'Design calculator'!F$6</f>
        <v>300</v>
      </c>
      <c r="H34" s="46">
        <f>'Design calculator'!F$7</f>
        <v>150</v>
      </c>
      <c r="I34" s="46">
        <f>'Design calculator'!F$9</f>
        <v>-50</v>
      </c>
      <c r="J34" s="44">
        <f t="shared" si="1"/>
        <v>7.0107645958333329</v>
      </c>
      <c r="K34" s="44">
        <f t="shared" si="2"/>
        <v>7.7819487013750006</v>
      </c>
      <c r="L34" s="44">
        <f t="shared" si="3"/>
        <v>2.6042729999999996</v>
      </c>
      <c r="M34" s="44">
        <f t="shared" si="4"/>
        <v>2.8907430299999994</v>
      </c>
      <c r="N34" s="47">
        <f t="shared" si="5"/>
        <v>4.8912056713750012</v>
      </c>
    </row>
    <row r="35" spans="1:14" x14ac:dyDescent="0.25">
      <c r="A35" s="43">
        <f>'Input-Rainfall Data'!O34</f>
        <v>19</v>
      </c>
      <c r="B35" s="44" cm="1">
        <f t="array" ref="B35">_xlfn.XLOOKUP(A35,'Input-Rainfall Data'!$O$6:$O$74,_xlfn.XLOOKUP('OSD Mass-Curve'!$B$2,'Input-Rainfall Data'!$P$4:$V$4,'Input-Rainfall Data'!$P$6:$V$74))</f>
        <v>58.66</v>
      </c>
      <c r="C35" s="44">
        <f>'Design calculator'!F$32</f>
        <v>1</v>
      </c>
      <c r="D35" s="44">
        <f>'Design calculator'!F$33</f>
        <v>0.9</v>
      </c>
      <c r="E35" s="45">
        <f>'Design calculator'!F$34</f>
        <v>0.24339</v>
      </c>
      <c r="F35" s="46">
        <f t="shared" si="0"/>
        <v>450</v>
      </c>
      <c r="G35" s="46">
        <f>'Design calculator'!F$6</f>
        <v>300</v>
      </c>
      <c r="H35" s="46">
        <f>'Design calculator'!F$7</f>
        <v>150</v>
      </c>
      <c r="I35" s="46">
        <f>'Design calculator'!F$9</f>
        <v>-50</v>
      </c>
      <c r="J35" s="44">
        <f t="shared" si="1"/>
        <v>6.8897880916666674</v>
      </c>
      <c r="K35" s="44">
        <f t="shared" si="2"/>
        <v>7.8543584245000009</v>
      </c>
      <c r="L35" s="44">
        <f t="shared" si="3"/>
        <v>2.6042729999999996</v>
      </c>
      <c r="M35" s="44">
        <f t="shared" si="4"/>
        <v>2.9688712199999996</v>
      </c>
      <c r="N35" s="47">
        <f t="shared" si="5"/>
        <v>4.8854872045000013</v>
      </c>
    </row>
    <row r="36" spans="1:14" x14ac:dyDescent="0.25">
      <c r="A36" s="43">
        <f>'Input-Rainfall Data'!O35</f>
        <v>19.5</v>
      </c>
      <c r="B36" s="44" cm="1">
        <f t="array" ref="B36">_xlfn.XLOOKUP(A36,'Input-Rainfall Data'!$O$6:$O$74,_xlfn.XLOOKUP('OSD Mass-Curve'!$B$2,'Input-Rainfall Data'!$P$4:$V$4,'Input-Rainfall Data'!$P$6:$V$74))</f>
        <v>57.629999999999995</v>
      </c>
      <c r="C36" s="44">
        <f>'Design calculator'!F$32</f>
        <v>1</v>
      </c>
      <c r="D36" s="44">
        <f>'Design calculator'!F$33</f>
        <v>0.9</v>
      </c>
      <c r="E36" s="45">
        <f>'Design calculator'!F$34</f>
        <v>0.24339</v>
      </c>
      <c r="F36" s="46">
        <f t="shared" si="0"/>
        <v>450</v>
      </c>
      <c r="G36" s="46">
        <f>'Design calculator'!F$6</f>
        <v>300</v>
      </c>
      <c r="H36" s="46">
        <f>'Design calculator'!F$7</f>
        <v>150</v>
      </c>
      <c r="I36" s="46">
        <f>'Design calculator'!F$9</f>
        <v>-50</v>
      </c>
      <c r="J36" s="44">
        <f t="shared" si="1"/>
        <v>6.7688115875000001</v>
      </c>
      <c r="K36" s="44">
        <f t="shared" si="2"/>
        <v>7.9195095573750001</v>
      </c>
      <c r="L36" s="44">
        <f t="shared" si="3"/>
        <v>2.6042729999999996</v>
      </c>
      <c r="M36" s="44">
        <f t="shared" si="4"/>
        <v>3.0469994099999993</v>
      </c>
      <c r="N36" s="47">
        <f t="shared" si="5"/>
        <v>4.8725101473750012</v>
      </c>
    </row>
    <row r="37" spans="1:14" x14ac:dyDescent="0.25">
      <c r="A37" s="43">
        <f>'Input-Rainfall Data'!O36</f>
        <v>20</v>
      </c>
      <c r="B37" s="44" cm="1">
        <f t="array" ref="B37">_xlfn.XLOOKUP(A37,'Input-Rainfall Data'!$O$6:$O$74,_xlfn.XLOOKUP('OSD Mass-Curve'!$B$2,'Input-Rainfall Data'!$P$4:$V$4,'Input-Rainfall Data'!$P$6:$V$74))</f>
        <v>56.6</v>
      </c>
      <c r="C37" s="44">
        <f>'Design calculator'!F$32</f>
        <v>1</v>
      </c>
      <c r="D37" s="44">
        <f>'Design calculator'!F$33</f>
        <v>0.9</v>
      </c>
      <c r="E37" s="45">
        <f>'Design calculator'!F$34</f>
        <v>0.24339</v>
      </c>
      <c r="F37" s="46">
        <f t="shared" si="0"/>
        <v>450</v>
      </c>
      <c r="G37" s="46">
        <f>'Design calculator'!F$6</f>
        <v>300</v>
      </c>
      <c r="H37" s="46">
        <f>'Design calculator'!F$7</f>
        <v>150</v>
      </c>
      <c r="I37" s="46">
        <f>'Design calculator'!F$9</f>
        <v>-50</v>
      </c>
      <c r="J37" s="44">
        <f t="shared" si="1"/>
        <v>6.6478350833333337</v>
      </c>
      <c r="K37" s="44">
        <f t="shared" si="2"/>
        <v>7.9774020999999999</v>
      </c>
      <c r="L37" s="44">
        <f t="shared" si="3"/>
        <v>2.6042729999999996</v>
      </c>
      <c r="M37" s="44">
        <f t="shared" si="4"/>
        <v>3.1251275999999995</v>
      </c>
      <c r="N37" s="47">
        <f t="shared" si="5"/>
        <v>4.8522745</v>
      </c>
    </row>
    <row r="38" spans="1:14" x14ac:dyDescent="0.25">
      <c r="A38" s="43">
        <f>'Input-Rainfall Data'!O37</f>
        <v>20.5</v>
      </c>
      <c r="B38" s="44" cm="1">
        <f t="array" ref="B38">_xlfn.XLOOKUP(A38,'Input-Rainfall Data'!$O$6:$O$74,_xlfn.XLOOKUP('OSD Mass-Curve'!$B$2,'Input-Rainfall Data'!$P$4:$V$4,'Input-Rainfall Data'!$P$6:$V$74))</f>
        <v>55.89</v>
      </c>
      <c r="C38" s="44">
        <f>'Design calculator'!F$32</f>
        <v>1</v>
      </c>
      <c r="D38" s="44">
        <f>'Design calculator'!F$33</f>
        <v>0.9</v>
      </c>
      <c r="E38" s="45">
        <f>'Design calculator'!F$34</f>
        <v>0.24339</v>
      </c>
      <c r="F38" s="46">
        <f t="shared" si="0"/>
        <v>450</v>
      </c>
      <c r="G38" s="46">
        <f>'Design calculator'!F$6</f>
        <v>300</v>
      </c>
      <c r="H38" s="46">
        <f>'Design calculator'!F$7</f>
        <v>150</v>
      </c>
      <c r="I38" s="46">
        <f>'Design calculator'!F$9</f>
        <v>-50</v>
      </c>
      <c r="J38" s="44">
        <f t="shared" si="1"/>
        <v>6.5644435125000005</v>
      </c>
      <c r="K38" s="44">
        <f t="shared" si="2"/>
        <v>8.0742655203750004</v>
      </c>
      <c r="L38" s="44">
        <f t="shared" si="3"/>
        <v>2.6042729999999996</v>
      </c>
      <c r="M38" s="44">
        <f t="shared" si="4"/>
        <v>3.2032557899999996</v>
      </c>
      <c r="N38" s="47">
        <f t="shared" si="5"/>
        <v>4.8710097303750004</v>
      </c>
    </row>
    <row r="39" spans="1:14" x14ac:dyDescent="0.25">
      <c r="A39" s="43">
        <f>'Input-Rainfall Data'!O38</f>
        <v>21</v>
      </c>
      <c r="B39" s="44" cm="1">
        <f t="array" ref="B39">_xlfn.XLOOKUP(A39,'Input-Rainfall Data'!$O$6:$O$74,_xlfn.XLOOKUP('OSD Mass-Curve'!$B$2,'Input-Rainfall Data'!$P$4:$V$4,'Input-Rainfall Data'!$P$6:$V$74))</f>
        <v>55.18</v>
      </c>
      <c r="C39" s="44">
        <f>'Design calculator'!F$32</f>
        <v>1</v>
      </c>
      <c r="D39" s="44">
        <f>'Design calculator'!F$33</f>
        <v>0.9</v>
      </c>
      <c r="E39" s="45">
        <f>'Design calculator'!F$34</f>
        <v>0.24339</v>
      </c>
      <c r="F39" s="46">
        <f t="shared" si="0"/>
        <v>450</v>
      </c>
      <c r="G39" s="46">
        <f>'Design calculator'!F$6</f>
        <v>300</v>
      </c>
      <c r="H39" s="46">
        <f>'Design calculator'!F$7</f>
        <v>150</v>
      </c>
      <c r="I39" s="46">
        <f>'Design calculator'!F$9</f>
        <v>-50</v>
      </c>
      <c r="J39" s="44">
        <f t="shared" si="1"/>
        <v>6.4810519416666672</v>
      </c>
      <c r="K39" s="44">
        <f t="shared" si="2"/>
        <v>8.1661254465000006</v>
      </c>
      <c r="L39" s="44">
        <f t="shared" si="3"/>
        <v>2.6042729999999996</v>
      </c>
      <c r="M39" s="44">
        <f t="shared" si="4"/>
        <v>3.2813839799999998</v>
      </c>
      <c r="N39" s="47">
        <f t="shared" si="5"/>
        <v>4.8847414665000013</v>
      </c>
    </row>
    <row r="40" spans="1:14" x14ac:dyDescent="0.25">
      <c r="A40" s="43">
        <f>'Input-Rainfall Data'!O39</f>
        <v>21.5</v>
      </c>
      <c r="B40" s="44" cm="1">
        <f t="array" ref="B40">_xlfn.XLOOKUP(A40,'Input-Rainfall Data'!$O$6:$O$74,_xlfn.XLOOKUP('OSD Mass-Curve'!$B$2,'Input-Rainfall Data'!$P$4:$V$4,'Input-Rainfall Data'!$P$6:$V$74))</f>
        <v>54.47</v>
      </c>
      <c r="C40" s="44">
        <f>'Design calculator'!F$32</f>
        <v>1</v>
      </c>
      <c r="D40" s="44">
        <f>'Design calculator'!F$33</f>
        <v>0.9</v>
      </c>
      <c r="E40" s="45">
        <f>'Design calculator'!F$34</f>
        <v>0.24339</v>
      </c>
      <c r="F40" s="46">
        <f t="shared" si="0"/>
        <v>450</v>
      </c>
      <c r="G40" s="46">
        <f>'Design calculator'!F$6</f>
        <v>300</v>
      </c>
      <c r="H40" s="46">
        <f>'Design calculator'!F$7</f>
        <v>150</v>
      </c>
      <c r="I40" s="46">
        <f>'Design calculator'!F$9</f>
        <v>-50</v>
      </c>
      <c r="J40" s="44">
        <f t="shared" si="1"/>
        <v>6.3976603708333339</v>
      </c>
      <c r="K40" s="44">
        <f t="shared" si="2"/>
        <v>8.2529818783749995</v>
      </c>
      <c r="L40" s="44">
        <f t="shared" si="3"/>
        <v>2.6042729999999996</v>
      </c>
      <c r="M40" s="44">
        <f t="shared" si="4"/>
        <v>3.3595121699999995</v>
      </c>
      <c r="N40" s="47">
        <f t="shared" si="5"/>
        <v>4.8934697083750001</v>
      </c>
    </row>
    <row r="41" spans="1:14" x14ac:dyDescent="0.25">
      <c r="A41" s="43">
        <f>'Input-Rainfall Data'!O40</f>
        <v>22</v>
      </c>
      <c r="B41" s="44" cm="1">
        <f t="array" ref="B41">_xlfn.XLOOKUP(A41,'Input-Rainfall Data'!$O$6:$O$74,_xlfn.XLOOKUP('OSD Mass-Curve'!$B$2,'Input-Rainfall Data'!$P$4:$V$4,'Input-Rainfall Data'!$P$6:$V$74))</f>
        <v>53.76</v>
      </c>
      <c r="C41" s="44">
        <f>'Design calculator'!F$32</f>
        <v>1</v>
      </c>
      <c r="D41" s="44">
        <f>'Design calculator'!F$33</f>
        <v>0.9</v>
      </c>
      <c r="E41" s="45">
        <f>'Design calculator'!F$34</f>
        <v>0.24339</v>
      </c>
      <c r="F41" s="46">
        <f t="shared" si="0"/>
        <v>450</v>
      </c>
      <c r="G41" s="46">
        <f>'Design calculator'!F$6</f>
        <v>300</v>
      </c>
      <c r="H41" s="46">
        <f>'Design calculator'!F$7</f>
        <v>150</v>
      </c>
      <c r="I41" s="46">
        <f>'Design calculator'!F$9</f>
        <v>-50</v>
      </c>
      <c r="J41" s="44">
        <f t="shared" si="1"/>
        <v>6.3142687999999998</v>
      </c>
      <c r="K41" s="44">
        <f t="shared" si="2"/>
        <v>8.3348348160000008</v>
      </c>
      <c r="L41" s="44">
        <f t="shared" si="3"/>
        <v>2.6042729999999996</v>
      </c>
      <c r="M41" s="44">
        <f t="shared" si="4"/>
        <v>3.4376403599999996</v>
      </c>
      <c r="N41" s="47">
        <f t="shared" si="5"/>
        <v>4.8971944560000011</v>
      </c>
    </row>
    <row r="42" spans="1:14" x14ac:dyDescent="0.25">
      <c r="A42" s="43">
        <f>'Input-Rainfall Data'!O41</f>
        <v>22.5</v>
      </c>
      <c r="B42" s="44" cm="1">
        <f t="array" ref="B42">_xlfn.XLOOKUP(A42,'Input-Rainfall Data'!$O$6:$O$74,_xlfn.XLOOKUP('OSD Mass-Curve'!$B$2,'Input-Rainfall Data'!$P$4:$V$4,'Input-Rainfall Data'!$P$6:$V$74))</f>
        <v>53.05</v>
      </c>
      <c r="C42" s="44">
        <f>'Design calculator'!F$32</f>
        <v>1</v>
      </c>
      <c r="D42" s="44">
        <f>'Design calculator'!F$33</f>
        <v>0.9</v>
      </c>
      <c r="E42" s="45">
        <f>'Design calculator'!F$34</f>
        <v>0.24339</v>
      </c>
      <c r="F42" s="46">
        <f t="shared" si="0"/>
        <v>450</v>
      </c>
      <c r="G42" s="46">
        <f>'Design calculator'!F$6</f>
        <v>300</v>
      </c>
      <c r="H42" s="46">
        <f>'Design calculator'!F$7</f>
        <v>150</v>
      </c>
      <c r="I42" s="46">
        <f>'Design calculator'!F$9</f>
        <v>-50</v>
      </c>
      <c r="J42" s="44">
        <f t="shared" si="1"/>
        <v>6.2308772291666665</v>
      </c>
      <c r="K42" s="44">
        <f t="shared" si="2"/>
        <v>8.4116842593750007</v>
      </c>
      <c r="L42" s="44">
        <f t="shared" si="3"/>
        <v>2.6042729999999996</v>
      </c>
      <c r="M42" s="44">
        <f t="shared" si="4"/>
        <v>3.5157685499999993</v>
      </c>
      <c r="N42" s="47">
        <f t="shared" si="5"/>
        <v>4.8959157093750019</v>
      </c>
    </row>
    <row r="43" spans="1:14" x14ac:dyDescent="0.25">
      <c r="A43" s="43">
        <f>'Input-Rainfall Data'!O42</f>
        <v>23</v>
      </c>
      <c r="B43" s="44" cm="1">
        <f t="array" ref="B43">_xlfn.XLOOKUP(A43,'Input-Rainfall Data'!$O$6:$O$74,_xlfn.XLOOKUP('OSD Mass-Curve'!$B$2,'Input-Rainfall Data'!$P$4:$V$4,'Input-Rainfall Data'!$P$6:$V$74))</f>
        <v>52.339999999999996</v>
      </c>
      <c r="C43" s="44">
        <f>'Design calculator'!F$32</f>
        <v>1</v>
      </c>
      <c r="D43" s="44">
        <f>'Design calculator'!F$33</f>
        <v>0.9</v>
      </c>
      <c r="E43" s="45">
        <f>'Design calculator'!F$34</f>
        <v>0.24339</v>
      </c>
      <c r="F43" s="46">
        <f t="shared" si="0"/>
        <v>450</v>
      </c>
      <c r="G43" s="46">
        <f>'Design calculator'!F$6</f>
        <v>300</v>
      </c>
      <c r="H43" s="46">
        <f>'Design calculator'!F$7</f>
        <v>150</v>
      </c>
      <c r="I43" s="46">
        <f>'Design calculator'!F$9</f>
        <v>-50</v>
      </c>
      <c r="J43" s="44">
        <f t="shared" si="1"/>
        <v>6.1474856583333333</v>
      </c>
      <c r="K43" s="44">
        <f t="shared" si="2"/>
        <v>8.4835302084999995</v>
      </c>
      <c r="L43" s="44">
        <f t="shared" si="3"/>
        <v>2.6042729999999996</v>
      </c>
      <c r="M43" s="44">
        <f t="shared" si="4"/>
        <v>3.593896739999999</v>
      </c>
      <c r="N43" s="47">
        <f t="shared" si="5"/>
        <v>4.8896334685000005</v>
      </c>
    </row>
    <row r="44" spans="1:14" x14ac:dyDescent="0.25">
      <c r="A44" s="43">
        <f>'Input-Rainfall Data'!O43</f>
        <v>23.5</v>
      </c>
      <c r="B44" s="44" cm="1">
        <f t="array" ref="B44">_xlfn.XLOOKUP(A44,'Input-Rainfall Data'!$O$6:$O$74,_xlfn.XLOOKUP('OSD Mass-Curve'!$B$2,'Input-Rainfall Data'!$P$4:$V$4,'Input-Rainfall Data'!$P$6:$V$74))</f>
        <v>51.629999999999995</v>
      </c>
      <c r="C44" s="44">
        <f>'Design calculator'!F$32</f>
        <v>1</v>
      </c>
      <c r="D44" s="44">
        <f>'Design calculator'!F$33</f>
        <v>0.9</v>
      </c>
      <c r="E44" s="45">
        <f>'Design calculator'!F$34</f>
        <v>0.24339</v>
      </c>
      <c r="F44" s="46">
        <f t="shared" si="0"/>
        <v>450</v>
      </c>
      <c r="G44" s="46">
        <f>'Design calculator'!F$6</f>
        <v>300</v>
      </c>
      <c r="H44" s="46">
        <f>'Design calculator'!F$7</f>
        <v>150</v>
      </c>
      <c r="I44" s="46">
        <f>'Design calculator'!F$9</f>
        <v>-50</v>
      </c>
      <c r="J44" s="44">
        <f t="shared" si="1"/>
        <v>6.0640940875</v>
      </c>
      <c r="K44" s="44">
        <f t="shared" si="2"/>
        <v>8.5503726633750006</v>
      </c>
      <c r="L44" s="44">
        <f t="shared" si="3"/>
        <v>2.6042729999999996</v>
      </c>
      <c r="M44" s="44">
        <f t="shared" si="4"/>
        <v>3.6720249299999996</v>
      </c>
      <c r="N44" s="47">
        <f t="shared" si="5"/>
        <v>4.8783477333750014</v>
      </c>
    </row>
    <row r="45" spans="1:14" x14ac:dyDescent="0.25">
      <c r="A45" s="43">
        <f>'Input-Rainfall Data'!O44</f>
        <v>24</v>
      </c>
      <c r="B45" s="44" cm="1">
        <f t="array" ref="B45">_xlfn.XLOOKUP(A45,'Input-Rainfall Data'!$O$6:$O$74,_xlfn.XLOOKUP('OSD Mass-Curve'!$B$2,'Input-Rainfall Data'!$P$4:$V$4,'Input-Rainfall Data'!$P$6:$V$74))</f>
        <v>50.919999999999995</v>
      </c>
      <c r="C45" s="44">
        <f>'Design calculator'!F$32</f>
        <v>1</v>
      </c>
      <c r="D45" s="44">
        <f>'Design calculator'!F$33</f>
        <v>0.9</v>
      </c>
      <c r="E45" s="45">
        <f>'Design calculator'!F$34</f>
        <v>0.24339</v>
      </c>
      <c r="F45" s="46">
        <f t="shared" si="0"/>
        <v>450</v>
      </c>
      <c r="G45" s="46">
        <f>'Design calculator'!F$6</f>
        <v>300</v>
      </c>
      <c r="H45" s="46">
        <f>'Design calculator'!F$7</f>
        <v>150</v>
      </c>
      <c r="I45" s="46">
        <f>'Design calculator'!F$9</f>
        <v>-50</v>
      </c>
      <c r="J45" s="44">
        <f t="shared" si="1"/>
        <v>5.9807025166666667</v>
      </c>
      <c r="K45" s="44">
        <f t="shared" si="2"/>
        <v>8.6122116240000004</v>
      </c>
      <c r="L45" s="44">
        <f t="shared" si="3"/>
        <v>2.6042729999999996</v>
      </c>
      <c r="M45" s="44">
        <f t="shared" si="4"/>
        <v>3.7501531199999993</v>
      </c>
      <c r="N45" s="47">
        <f t="shared" si="5"/>
        <v>4.8620585040000011</v>
      </c>
    </row>
    <row r="46" spans="1:14" x14ac:dyDescent="0.25">
      <c r="A46" s="43">
        <f>'Input-Rainfall Data'!O45</f>
        <v>24.5</v>
      </c>
      <c r="B46" s="44" cm="1">
        <f t="array" ref="B46">_xlfn.XLOOKUP(A46,'Input-Rainfall Data'!$O$6:$O$74,_xlfn.XLOOKUP('OSD Mass-Curve'!$B$2,'Input-Rainfall Data'!$P$4:$V$4,'Input-Rainfall Data'!$P$6:$V$74))</f>
        <v>50.209999999999994</v>
      </c>
      <c r="C46" s="44">
        <f>'Design calculator'!F$32</f>
        <v>1</v>
      </c>
      <c r="D46" s="44">
        <f>'Design calculator'!F$33</f>
        <v>0.9</v>
      </c>
      <c r="E46" s="45">
        <f>'Design calculator'!F$34</f>
        <v>0.24339</v>
      </c>
      <c r="F46" s="46">
        <f t="shared" si="0"/>
        <v>450</v>
      </c>
      <c r="G46" s="46">
        <f>'Design calculator'!F$6</f>
        <v>300</v>
      </c>
      <c r="H46" s="46">
        <f>'Design calculator'!F$7</f>
        <v>150</v>
      </c>
      <c r="I46" s="46">
        <f>'Design calculator'!F$9</f>
        <v>-50</v>
      </c>
      <c r="J46" s="44">
        <f t="shared" si="1"/>
        <v>5.8973109458333326</v>
      </c>
      <c r="K46" s="44">
        <f t="shared" si="2"/>
        <v>8.669047090374999</v>
      </c>
      <c r="L46" s="44">
        <f t="shared" si="3"/>
        <v>2.6042729999999996</v>
      </c>
      <c r="M46" s="44">
        <f t="shared" si="4"/>
        <v>3.8282813099999995</v>
      </c>
      <c r="N46" s="47">
        <f t="shared" si="5"/>
        <v>4.8407657803749995</v>
      </c>
    </row>
    <row r="47" spans="1:14" x14ac:dyDescent="0.25">
      <c r="A47" s="43">
        <f>'Input-Rainfall Data'!O46</f>
        <v>25</v>
      </c>
      <c r="B47" s="44" cm="1">
        <f t="array" ref="B47">_xlfn.XLOOKUP(A47,'Input-Rainfall Data'!$O$6:$O$74,_xlfn.XLOOKUP('OSD Mass-Curve'!$B$2,'Input-Rainfall Data'!$P$4:$V$4,'Input-Rainfall Data'!$P$6:$V$74))</f>
        <v>49.5</v>
      </c>
      <c r="C47" s="44">
        <f>'Design calculator'!F$32</f>
        <v>1</v>
      </c>
      <c r="D47" s="44">
        <f>'Design calculator'!F$33</f>
        <v>0.9</v>
      </c>
      <c r="E47" s="45">
        <f>'Design calculator'!F$34</f>
        <v>0.24339</v>
      </c>
      <c r="F47" s="46">
        <f t="shared" si="0"/>
        <v>450</v>
      </c>
      <c r="G47" s="46">
        <f>'Design calculator'!F$6</f>
        <v>300</v>
      </c>
      <c r="H47" s="46">
        <f>'Design calculator'!F$7</f>
        <v>150</v>
      </c>
      <c r="I47" s="46">
        <f>'Design calculator'!F$9</f>
        <v>-50</v>
      </c>
      <c r="J47" s="44">
        <f t="shared" si="1"/>
        <v>5.8139193750000011</v>
      </c>
      <c r="K47" s="44">
        <f t="shared" si="2"/>
        <v>8.7208790625000017</v>
      </c>
      <c r="L47" s="44">
        <f t="shared" si="3"/>
        <v>2.6042729999999996</v>
      </c>
      <c r="M47" s="44">
        <f t="shared" si="4"/>
        <v>3.9064094999999992</v>
      </c>
      <c r="N47" s="47">
        <f t="shared" si="5"/>
        <v>4.8144695625000029</v>
      </c>
    </row>
    <row r="48" spans="1:14" x14ac:dyDescent="0.25">
      <c r="A48" s="43">
        <f>'Input-Rainfall Data'!O47</f>
        <v>25.5</v>
      </c>
      <c r="B48" s="44" cm="1">
        <f t="array" ref="B48">_xlfn.XLOOKUP(A48,'Input-Rainfall Data'!$O$6:$O$74,_xlfn.XLOOKUP('OSD Mass-Curve'!$B$2,'Input-Rainfall Data'!$P$4:$V$4,'Input-Rainfall Data'!$P$6:$V$74))</f>
        <v>48.97</v>
      </c>
      <c r="C48" s="44">
        <f>'Design calculator'!F$32</f>
        <v>1</v>
      </c>
      <c r="D48" s="44">
        <f>'Design calculator'!F$33</f>
        <v>0.9</v>
      </c>
      <c r="E48" s="45">
        <f>'Design calculator'!F$34</f>
        <v>0.24339</v>
      </c>
      <c r="F48" s="46">
        <f t="shared" si="0"/>
        <v>450</v>
      </c>
      <c r="G48" s="46">
        <f>'Design calculator'!F$6</f>
        <v>300</v>
      </c>
      <c r="H48" s="46">
        <f>'Design calculator'!F$7</f>
        <v>150</v>
      </c>
      <c r="I48" s="46">
        <f>'Design calculator'!F$9</f>
        <v>-50</v>
      </c>
      <c r="J48" s="44">
        <f t="shared" si="1"/>
        <v>5.751669329166667</v>
      </c>
      <c r="K48" s="44">
        <f t="shared" si="2"/>
        <v>8.8000540736250006</v>
      </c>
      <c r="L48" s="44">
        <f t="shared" si="3"/>
        <v>2.6042729999999996</v>
      </c>
      <c r="M48" s="44">
        <f t="shared" si="4"/>
        <v>3.9845376899999994</v>
      </c>
      <c r="N48" s="47">
        <f t="shared" si="5"/>
        <v>4.8155163836250008</v>
      </c>
    </row>
    <row r="49" spans="1:14" x14ac:dyDescent="0.25">
      <c r="A49" s="43">
        <f>'Input-Rainfall Data'!O48</f>
        <v>26</v>
      </c>
      <c r="B49" s="44" cm="1">
        <f t="array" ref="B49">_xlfn.XLOOKUP(A49,'Input-Rainfall Data'!$O$6:$O$74,_xlfn.XLOOKUP('OSD Mass-Curve'!$B$2,'Input-Rainfall Data'!$P$4:$V$4,'Input-Rainfall Data'!$P$6:$V$74))</f>
        <v>48.44</v>
      </c>
      <c r="C49" s="44">
        <f>'Design calculator'!F$32</f>
        <v>1</v>
      </c>
      <c r="D49" s="44">
        <f>'Design calculator'!F$33</f>
        <v>0.9</v>
      </c>
      <c r="E49" s="45">
        <f>'Design calculator'!F$34</f>
        <v>0.24339</v>
      </c>
      <c r="F49" s="46">
        <f t="shared" si="0"/>
        <v>450</v>
      </c>
      <c r="G49" s="46">
        <f>'Design calculator'!F$6</f>
        <v>300</v>
      </c>
      <c r="H49" s="46">
        <f>'Design calculator'!F$7</f>
        <v>150</v>
      </c>
      <c r="I49" s="46">
        <f>'Design calculator'!F$9</f>
        <v>-50</v>
      </c>
      <c r="J49" s="44">
        <f t="shared" si="1"/>
        <v>5.6894192833333337</v>
      </c>
      <c r="K49" s="44">
        <f t="shared" si="2"/>
        <v>8.8754940820000012</v>
      </c>
      <c r="L49" s="44">
        <f t="shared" si="3"/>
        <v>2.6042729999999996</v>
      </c>
      <c r="M49" s="44">
        <f t="shared" si="4"/>
        <v>4.06266588</v>
      </c>
      <c r="N49" s="47">
        <f t="shared" si="5"/>
        <v>4.8128282020000013</v>
      </c>
    </row>
    <row r="50" spans="1:14" x14ac:dyDescent="0.25">
      <c r="A50" s="43">
        <f>'Input-Rainfall Data'!O49</f>
        <v>26.5</v>
      </c>
      <c r="B50" s="44" cm="1">
        <f t="array" ref="B50">_xlfn.XLOOKUP(A50,'Input-Rainfall Data'!$O$6:$O$74,_xlfn.XLOOKUP('OSD Mass-Curve'!$B$2,'Input-Rainfall Data'!$P$4:$V$4,'Input-Rainfall Data'!$P$6:$V$74))</f>
        <v>47.91</v>
      </c>
      <c r="C50" s="44">
        <f>'Design calculator'!F$32</f>
        <v>1</v>
      </c>
      <c r="D50" s="44">
        <f>'Design calculator'!F$33</f>
        <v>0.9</v>
      </c>
      <c r="E50" s="45">
        <f>'Design calculator'!F$34</f>
        <v>0.24339</v>
      </c>
      <c r="F50" s="46">
        <f t="shared" si="0"/>
        <v>450</v>
      </c>
      <c r="G50" s="46">
        <f>'Design calculator'!F$6</f>
        <v>300</v>
      </c>
      <c r="H50" s="46">
        <f>'Design calculator'!F$7</f>
        <v>150</v>
      </c>
      <c r="I50" s="46">
        <f>'Design calculator'!F$9</f>
        <v>-50</v>
      </c>
      <c r="J50" s="44">
        <f t="shared" si="1"/>
        <v>5.6271692375000004</v>
      </c>
      <c r="K50" s="44">
        <f t="shared" si="2"/>
        <v>8.947199087625</v>
      </c>
      <c r="L50" s="44">
        <f t="shared" si="3"/>
        <v>2.6042729999999996</v>
      </c>
      <c r="M50" s="44">
        <f t="shared" si="4"/>
        <v>4.1407940700000001</v>
      </c>
      <c r="N50" s="47">
        <f t="shared" si="5"/>
        <v>4.8064050176249999</v>
      </c>
    </row>
    <row r="51" spans="1:14" x14ac:dyDescent="0.25">
      <c r="A51" s="43">
        <f>'Input-Rainfall Data'!O50</f>
        <v>27</v>
      </c>
      <c r="B51" s="44" cm="1">
        <f t="array" ref="B51">_xlfn.XLOOKUP(A51,'Input-Rainfall Data'!$O$6:$O$74,_xlfn.XLOOKUP('OSD Mass-Curve'!$B$2,'Input-Rainfall Data'!$P$4:$V$4,'Input-Rainfall Data'!$P$6:$V$74))</f>
        <v>47.379999999999995</v>
      </c>
      <c r="C51" s="44">
        <f>'Design calculator'!F$32</f>
        <v>1</v>
      </c>
      <c r="D51" s="44">
        <f>'Design calculator'!F$33</f>
        <v>0.9</v>
      </c>
      <c r="E51" s="45">
        <f>'Design calculator'!F$34</f>
        <v>0.24339</v>
      </c>
      <c r="F51" s="46">
        <f t="shared" si="0"/>
        <v>450</v>
      </c>
      <c r="G51" s="46">
        <f>'Design calculator'!F$6</f>
        <v>300</v>
      </c>
      <c r="H51" s="46">
        <f>'Design calculator'!F$7</f>
        <v>150</v>
      </c>
      <c r="I51" s="46">
        <f>'Design calculator'!F$9</f>
        <v>-50</v>
      </c>
      <c r="J51" s="44">
        <f t="shared" si="1"/>
        <v>5.5649191916666672</v>
      </c>
      <c r="K51" s="44">
        <f t="shared" si="2"/>
        <v>9.0151690905000006</v>
      </c>
      <c r="L51" s="44">
        <f t="shared" si="3"/>
        <v>2.6042729999999996</v>
      </c>
      <c r="M51" s="44">
        <f t="shared" si="4"/>
        <v>4.2189222599999994</v>
      </c>
      <c r="N51" s="47">
        <f t="shared" si="5"/>
        <v>4.7962468305000012</v>
      </c>
    </row>
    <row r="52" spans="1:14" x14ac:dyDescent="0.25">
      <c r="A52" s="43">
        <f>'Input-Rainfall Data'!O51</f>
        <v>27.5</v>
      </c>
      <c r="B52" s="44" cm="1">
        <f t="array" ref="B52">_xlfn.XLOOKUP(A52,'Input-Rainfall Data'!$O$6:$O$74,_xlfn.XLOOKUP('OSD Mass-Curve'!$B$2,'Input-Rainfall Data'!$P$4:$V$4,'Input-Rainfall Data'!$P$6:$V$74))</f>
        <v>46.849999999999994</v>
      </c>
      <c r="C52" s="44">
        <f>'Design calculator'!F$32</f>
        <v>1</v>
      </c>
      <c r="D52" s="44">
        <f>'Design calculator'!F$33</f>
        <v>0.9</v>
      </c>
      <c r="E52" s="45">
        <f>'Design calculator'!F$34</f>
        <v>0.24339</v>
      </c>
      <c r="F52" s="46">
        <f t="shared" si="0"/>
        <v>450</v>
      </c>
      <c r="G52" s="46">
        <f>'Design calculator'!F$6</f>
        <v>300</v>
      </c>
      <c r="H52" s="46">
        <f>'Design calculator'!F$7</f>
        <v>150</v>
      </c>
      <c r="I52" s="46">
        <f>'Design calculator'!F$9</f>
        <v>-50</v>
      </c>
      <c r="J52" s="44">
        <f t="shared" si="1"/>
        <v>5.5026691458333339</v>
      </c>
      <c r="K52" s="44">
        <f t="shared" si="2"/>
        <v>9.0794040906250011</v>
      </c>
      <c r="L52" s="44">
        <f t="shared" si="3"/>
        <v>2.6042729999999996</v>
      </c>
      <c r="M52" s="44">
        <f t="shared" si="4"/>
        <v>4.2970504499999986</v>
      </c>
      <c r="N52" s="47">
        <f t="shared" si="5"/>
        <v>4.7823536406250025</v>
      </c>
    </row>
    <row r="53" spans="1:14" x14ac:dyDescent="0.25">
      <c r="A53" s="43">
        <f>'Input-Rainfall Data'!O52</f>
        <v>28</v>
      </c>
      <c r="B53" s="44" cm="1">
        <f t="array" ref="B53">_xlfn.XLOOKUP(A53,'Input-Rainfall Data'!$O$6:$O$74,_xlfn.XLOOKUP('OSD Mass-Curve'!$B$2,'Input-Rainfall Data'!$P$4:$V$4,'Input-Rainfall Data'!$P$6:$V$74))</f>
        <v>46.319999999999993</v>
      </c>
      <c r="C53" s="44">
        <f>'Design calculator'!F$32</f>
        <v>1</v>
      </c>
      <c r="D53" s="44">
        <f>'Design calculator'!F$33</f>
        <v>0.9</v>
      </c>
      <c r="E53" s="45">
        <f>'Design calculator'!F$34</f>
        <v>0.24339</v>
      </c>
      <c r="F53" s="46">
        <f t="shared" si="0"/>
        <v>450</v>
      </c>
      <c r="G53" s="46">
        <f>'Design calculator'!F$6</f>
        <v>300</v>
      </c>
      <c r="H53" s="46">
        <f>'Design calculator'!F$7</f>
        <v>150</v>
      </c>
      <c r="I53" s="46">
        <f>'Design calculator'!F$9</f>
        <v>-50</v>
      </c>
      <c r="J53" s="44">
        <f t="shared" si="1"/>
        <v>5.4404190999999988</v>
      </c>
      <c r="K53" s="44">
        <f t="shared" si="2"/>
        <v>9.139904087999998</v>
      </c>
      <c r="L53" s="44">
        <f t="shared" si="3"/>
        <v>2.6042729999999996</v>
      </c>
      <c r="M53" s="44">
        <f t="shared" si="4"/>
        <v>4.3751786399999988</v>
      </c>
      <c r="N53" s="47">
        <f t="shared" si="5"/>
        <v>4.7647254479999992</v>
      </c>
    </row>
    <row r="54" spans="1:14" x14ac:dyDescent="0.25">
      <c r="A54" s="43">
        <f>'Input-Rainfall Data'!O53</f>
        <v>28.5</v>
      </c>
      <c r="B54" s="44" cm="1">
        <f t="array" ref="B54">_xlfn.XLOOKUP(A54,'Input-Rainfall Data'!$O$6:$O$74,_xlfn.XLOOKUP('OSD Mass-Curve'!$B$2,'Input-Rainfall Data'!$P$4:$V$4,'Input-Rainfall Data'!$P$6:$V$74))</f>
        <v>45.789999999999992</v>
      </c>
      <c r="C54" s="44">
        <f>'Design calculator'!F$32</f>
        <v>1</v>
      </c>
      <c r="D54" s="44">
        <f>'Design calculator'!F$33</f>
        <v>0.9</v>
      </c>
      <c r="E54" s="45">
        <f>'Design calculator'!F$34</f>
        <v>0.24339</v>
      </c>
      <c r="F54" s="46">
        <f t="shared" si="0"/>
        <v>450</v>
      </c>
      <c r="G54" s="46">
        <f>'Design calculator'!F$6</f>
        <v>300</v>
      </c>
      <c r="H54" s="46">
        <f>'Design calculator'!F$7</f>
        <v>150</v>
      </c>
      <c r="I54" s="46">
        <f>'Design calculator'!F$9</f>
        <v>-50</v>
      </c>
      <c r="J54" s="44">
        <f t="shared" si="1"/>
        <v>5.3781690541666656</v>
      </c>
      <c r="K54" s="44">
        <f t="shared" si="2"/>
        <v>9.1966690826249984</v>
      </c>
      <c r="L54" s="44">
        <f t="shared" si="3"/>
        <v>2.6042729999999996</v>
      </c>
      <c r="M54" s="44">
        <f t="shared" si="4"/>
        <v>4.4533068299999998</v>
      </c>
      <c r="N54" s="47">
        <f t="shared" si="5"/>
        <v>4.7433622526249986</v>
      </c>
    </row>
    <row r="55" spans="1:14" x14ac:dyDescent="0.25">
      <c r="A55" s="43">
        <f>'Input-Rainfall Data'!O54</f>
        <v>29</v>
      </c>
      <c r="B55" s="44" cm="1">
        <f t="array" ref="B55">_xlfn.XLOOKUP(A55,'Input-Rainfall Data'!$O$6:$O$74,_xlfn.XLOOKUP('OSD Mass-Curve'!$B$2,'Input-Rainfall Data'!$P$4:$V$4,'Input-Rainfall Data'!$P$6:$V$74))</f>
        <v>45.259999999999991</v>
      </c>
      <c r="C55" s="44">
        <f>'Design calculator'!F$32</f>
        <v>1</v>
      </c>
      <c r="D55" s="44">
        <f>'Design calculator'!F$33</f>
        <v>0.9</v>
      </c>
      <c r="E55" s="45">
        <f>'Design calculator'!F$34</f>
        <v>0.24339</v>
      </c>
      <c r="F55" s="46">
        <f t="shared" si="0"/>
        <v>450</v>
      </c>
      <c r="G55" s="46">
        <f>'Design calculator'!F$6</f>
        <v>300</v>
      </c>
      <c r="H55" s="46">
        <f>'Design calculator'!F$7</f>
        <v>150</v>
      </c>
      <c r="I55" s="46">
        <f>'Design calculator'!F$9</f>
        <v>-50</v>
      </c>
      <c r="J55" s="44">
        <f t="shared" si="1"/>
        <v>5.3159190083333323</v>
      </c>
      <c r="K55" s="44">
        <f t="shared" si="2"/>
        <v>9.2496990744999987</v>
      </c>
      <c r="L55" s="44">
        <f t="shared" si="3"/>
        <v>2.6042729999999996</v>
      </c>
      <c r="M55" s="44">
        <f t="shared" si="4"/>
        <v>4.5314350199999991</v>
      </c>
      <c r="N55" s="47">
        <f t="shared" si="5"/>
        <v>4.7182640544999996</v>
      </c>
    </row>
    <row r="56" spans="1:14" x14ac:dyDescent="0.25">
      <c r="A56" s="43">
        <f>'Input-Rainfall Data'!O55</f>
        <v>29.5</v>
      </c>
      <c r="B56" s="44" cm="1">
        <f t="array" ref="B56">_xlfn.XLOOKUP(A56,'Input-Rainfall Data'!$O$6:$O$74,_xlfn.XLOOKUP('OSD Mass-Curve'!$B$2,'Input-Rainfall Data'!$P$4:$V$4,'Input-Rainfall Data'!$P$6:$V$74))</f>
        <v>44.72999999999999</v>
      </c>
      <c r="C56" s="44">
        <f>'Design calculator'!F$32</f>
        <v>1</v>
      </c>
      <c r="D56" s="44">
        <f>'Design calculator'!F$33</f>
        <v>0.9</v>
      </c>
      <c r="E56" s="45">
        <f>'Design calculator'!F$34</f>
        <v>0.24339</v>
      </c>
      <c r="F56" s="46">
        <f t="shared" si="0"/>
        <v>450</v>
      </c>
      <c r="G56" s="46">
        <f>'Design calculator'!F$6</f>
        <v>300</v>
      </c>
      <c r="H56" s="46">
        <f>'Design calculator'!F$7</f>
        <v>150</v>
      </c>
      <c r="I56" s="46">
        <f>'Design calculator'!F$9</f>
        <v>-50</v>
      </c>
      <c r="J56" s="44">
        <f t="shared" si="1"/>
        <v>5.253668962499999</v>
      </c>
      <c r="K56" s="44">
        <f t="shared" si="2"/>
        <v>9.2989940636249973</v>
      </c>
      <c r="L56" s="44">
        <f t="shared" si="3"/>
        <v>2.6042729999999996</v>
      </c>
      <c r="M56" s="44">
        <f t="shared" si="4"/>
        <v>4.6095632099999992</v>
      </c>
      <c r="N56" s="47">
        <f t="shared" si="5"/>
        <v>4.689430853624998</v>
      </c>
    </row>
    <row r="57" spans="1:14" x14ac:dyDescent="0.25">
      <c r="A57" s="43">
        <f>'Input-Rainfall Data'!O56</f>
        <v>30</v>
      </c>
      <c r="B57" s="44" cm="1">
        <f t="array" ref="B57">_xlfn.XLOOKUP(A57,'Input-Rainfall Data'!$O$6:$O$74,_xlfn.XLOOKUP('OSD Mass-Curve'!$B$2,'Input-Rainfall Data'!$P$4:$V$4,'Input-Rainfall Data'!$P$6:$V$74))</f>
        <v>44.2</v>
      </c>
      <c r="C57" s="44">
        <f>'Design calculator'!F$32</f>
        <v>1</v>
      </c>
      <c r="D57" s="44">
        <f>'Design calculator'!F$33</f>
        <v>0.9</v>
      </c>
      <c r="E57" s="45">
        <f>'Design calculator'!F$34</f>
        <v>0.24339</v>
      </c>
      <c r="F57" s="46">
        <f t="shared" si="0"/>
        <v>450</v>
      </c>
      <c r="G57" s="46">
        <f>'Design calculator'!F$6</f>
        <v>300</v>
      </c>
      <c r="H57" s="46">
        <f>'Design calculator'!F$7</f>
        <v>150</v>
      </c>
      <c r="I57" s="46">
        <f>'Design calculator'!F$9</f>
        <v>-50</v>
      </c>
      <c r="J57" s="44">
        <f t="shared" si="1"/>
        <v>5.1914189166666667</v>
      </c>
      <c r="K57" s="44">
        <f t="shared" si="2"/>
        <v>9.3445540500000011</v>
      </c>
      <c r="L57" s="44">
        <f t="shared" si="3"/>
        <v>2.6042729999999996</v>
      </c>
      <c r="M57" s="44">
        <f t="shared" si="4"/>
        <v>4.6876913999999994</v>
      </c>
      <c r="N57" s="47">
        <f t="shared" si="5"/>
        <v>4.6568626500000017</v>
      </c>
    </row>
    <row r="58" spans="1:14" x14ac:dyDescent="0.25">
      <c r="A58" s="43">
        <f>'Input-Rainfall Data'!O57</f>
        <v>35</v>
      </c>
      <c r="B58" s="44" cm="1">
        <f t="array" ref="B58">_xlfn.XLOOKUP(A58,'Input-Rainfall Data'!$O$6:$O$74,_xlfn.XLOOKUP('OSD Mass-Curve'!$B$2,'Input-Rainfall Data'!$P$4:$V$4,'Input-Rainfall Data'!$P$6:$V$74))</f>
        <v>40.833333333333336</v>
      </c>
      <c r="C58" s="44">
        <f>'Design calculator'!F$32</f>
        <v>1</v>
      </c>
      <c r="D58" s="44">
        <f>'Design calculator'!F$33</f>
        <v>0.9</v>
      </c>
      <c r="E58" s="45">
        <f>'Design calculator'!F$34</f>
        <v>0.24339</v>
      </c>
      <c r="F58" s="46">
        <f t="shared" si="0"/>
        <v>450</v>
      </c>
      <c r="G58" s="46">
        <f>'Design calculator'!F$6</f>
        <v>300</v>
      </c>
      <c r="H58" s="46">
        <f>'Design calculator'!F$7</f>
        <v>150</v>
      </c>
      <c r="I58" s="46">
        <f>'Design calculator'!F$9</f>
        <v>-50</v>
      </c>
      <c r="J58" s="44">
        <f t="shared" si="1"/>
        <v>4.7959940972222226</v>
      </c>
      <c r="K58" s="44">
        <f t="shared" si="2"/>
        <v>10.071587604166668</v>
      </c>
      <c r="L58" s="44">
        <f t="shared" si="3"/>
        <v>2.6042729999999996</v>
      </c>
      <c r="M58" s="44">
        <f t="shared" si="4"/>
        <v>5.4689733</v>
      </c>
      <c r="N58" s="47">
        <f t="shared" si="5"/>
        <v>4.6026143041666678</v>
      </c>
    </row>
    <row r="59" spans="1:14" x14ac:dyDescent="0.25">
      <c r="A59" s="43">
        <f>'Input-Rainfall Data'!O58</f>
        <v>40</v>
      </c>
      <c r="B59" s="44" cm="1">
        <f t="array" ref="B59">_xlfn.XLOOKUP(A59,'Input-Rainfall Data'!$O$6:$O$74,_xlfn.XLOOKUP('OSD Mass-Curve'!$B$2,'Input-Rainfall Data'!$P$4:$V$4,'Input-Rainfall Data'!$P$6:$V$74))</f>
        <v>37.466666666666669</v>
      </c>
      <c r="C59" s="44">
        <f>'Design calculator'!F$32</f>
        <v>1</v>
      </c>
      <c r="D59" s="44">
        <f>'Design calculator'!F$33</f>
        <v>0.9</v>
      </c>
      <c r="E59" s="45">
        <f>'Design calculator'!F$34</f>
        <v>0.24339</v>
      </c>
      <c r="F59" s="46">
        <f t="shared" si="0"/>
        <v>450</v>
      </c>
      <c r="G59" s="46">
        <f>'Design calculator'!F$6</f>
        <v>300</v>
      </c>
      <c r="H59" s="46">
        <f>'Design calculator'!F$7</f>
        <v>150</v>
      </c>
      <c r="I59" s="46">
        <f>'Design calculator'!F$9</f>
        <v>-50</v>
      </c>
      <c r="J59" s="44">
        <f t="shared" si="1"/>
        <v>4.4005692777777785</v>
      </c>
      <c r="K59" s="44">
        <f t="shared" si="2"/>
        <v>10.561366266666667</v>
      </c>
      <c r="L59" s="44">
        <f t="shared" si="3"/>
        <v>2.6042729999999996</v>
      </c>
      <c r="M59" s="44">
        <f t="shared" si="4"/>
        <v>6.2502551999999989</v>
      </c>
      <c r="N59" s="47">
        <f t="shared" si="5"/>
        <v>4.3111110666666681</v>
      </c>
    </row>
    <row r="60" spans="1:14" x14ac:dyDescent="0.25">
      <c r="A60" s="43">
        <f>'Input-Rainfall Data'!O59</f>
        <v>45</v>
      </c>
      <c r="B60" s="44" cm="1">
        <f t="array" ref="B60">_xlfn.XLOOKUP(A60,'Input-Rainfall Data'!$O$6:$O$74,_xlfn.XLOOKUP('OSD Mass-Curve'!$B$2,'Input-Rainfall Data'!$P$4:$V$4,'Input-Rainfall Data'!$P$6:$V$74))</f>
        <v>34.1</v>
      </c>
      <c r="C60" s="44">
        <f>'Design calculator'!F$32</f>
        <v>1</v>
      </c>
      <c r="D60" s="44">
        <f>'Design calculator'!F$33</f>
        <v>0.9</v>
      </c>
      <c r="E60" s="45">
        <f>'Design calculator'!F$34</f>
        <v>0.24339</v>
      </c>
      <c r="F60" s="46">
        <f t="shared" si="0"/>
        <v>450</v>
      </c>
      <c r="G60" s="46">
        <f>'Design calculator'!F$6</f>
        <v>300</v>
      </c>
      <c r="H60" s="46">
        <f>'Design calculator'!F$7</f>
        <v>150</v>
      </c>
      <c r="I60" s="46">
        <f>'Design calculator'!F$9</f>
        <v>-50</v>
      </c>
      <c r="J60" s="44">
        <f t="shared" si="1"/>
        <v>4.0051444583333335</v>
      </c>
      <c r="K60" s="44">
        <f t="shared" si="2"/>
        <v>10.813890037500002</v>
      </c>
      <c r="L60" s="44">
        <f t="shared" si="3"/>
        <v>2.6042729999999996</v>
      </c>
      <c r="M60" s="44">
        <f t="shared" si="4"/>
        <v>7.0315370999999987</v>
      </c>
      <c r="N60" s="47">
        <f t="shared" si="5"/>
        <v>3.7823529375000033</v>
      </c>
    </row>
    <row r="61" spans="1:14" x14ac:dyDescent="0.25">
      <c r="A61" s="43">
        <f>'Input-Rainfall Data'!O60</f>
        <v>50</v>
      </c>
      <c r="B61" s="44" cm="1">
        <f t="array" ref="B61">_xlfn.XLOOKUP(A61,'Input-Rainfall Data'!$O$6:$O$74,_xlfn.XLOOKUP('OSD Mass-Curve'!$B$2,'Input-Rainfall Data'!$P$4:$V$4,'Input-Rainfall Data'!$P$6:$V$74))</f>
        <v>32.166666666666671</v>
      </c>
      <c r="C61" s="44">
        <f>'Design calculator'!F$32</f>
        <v>1</v>
      </c>
      <c r="D61" s="44">
        <f>'Design calculator'!F$33</f>
        <v>0.9</v>
      </c>
      <c r="E61" s="45">
        <f>'Design calculator'!F$34</f>
        <v>0.24339</v>
      </c>
      <c r="F61" s="46">
        <f t="shared" si="0"/>
        <v>450</v>
      </c>
      <c r="G61" s="46">
        <f>'Design calculator'!F$6</f>
        <v>300</v>
      </c>
      <c r="H61" s="46">
        <f>'Design calculator'!F$7</f>
        <v>150</v>
      </c>
      <c r="I61" s="46">
        <f>'Design calculator'!F$9</f>
        <v>-50</v>
      </c>
      <c r="J61" s="44">
        <f t="shared" si="1"/>
        <v>3.7780688194444454</v>
      </c>
      <c r="K61" s="44">
        <f t="shared" si="2"/>
        <v>11.334206458333336</v>
      </c>
      <c r="L61" s="44">
        <f t="shared" si="3"/>
        <v>2.6042729999999996</v>
      </c>
      <c r="M61" s="44">
        <f t="shared" si="4"/>
        <v>7.8128189999999984</v>
      </c>
      <c r="N61" s="47">
        <f t="shared" si="5"/>
        <v>3.5213874583333373</v>
      </c>
    </row>
    <row r="62" spans="1:14" x14ac:dyDescent="0.25">
      <c r="A62" s="43">
        <f>'Input-Rainfall Data'!O61</f>
        <v>55</v>
      </c>
      <c r="B62" s="44" cm="1">
        <f t="array" ref="B62">_xlfn.XLOOKUP(A62,'Input-Rainfall Data'!$O$6:$O$74,_xlfn.XLOOKUP('OSD Mass-Curve'!$B$2,'Input-Rainfall Data'!$P$4:$V$4,'Input-Rainfall Data'!$P$6:$V$74))</f>
        <v>30.233333333333338</v>
      </c>
      <c r="C62" s="44">
        <f>'Design calculator'!F$32</f>
        <v>1</v>
      </c>
      <c r="D62" s="44">
        <f>'Design calculator'!F$33</f>
        <v>0.9</v>
      </c>
      <c r="E62" s="45">
        <f>'Design calculator'!F$34</f>
        <v>0.24339</v>
      </c>
      <c r="F62" s="46">
        <f t="shared" si="0"/>
        <v>450</v>
      </c>
      <c r="G62" s="46">
        <f>'Design calculator'!F$6</f>
        <v>300</v>
      </c>
      <c r="H62" s="46">
        <f>'Design calculator'!F$7</f>
        <v>150</v>
      </c>
      <c r="I62" s="46">
        <f>'Design calculator'!F$9</f>
        <v>-50</v>
      </c>
      <c r="J62" s="44">
        <f t="shared" si="1"/>
        <v>3.5509931805555563</v>
      </c>
      <c r="K62" s="44">
        <f t="shared" si="2"/>
        <v>11.718277495833336</v>
      </c>
      <c r="L62" s="44">
        <f t="shared" si="3"/>
        <v>2.6042729999999996</v>
      </c>
      <c r="M62" s="44">
        <f t="shared" si="4"/>
        <v>8.5941008999999973</v>
      </c>
      <c r="N62" s="47">
        <f t="shared" si="5"/>
        <v>3.1241765958333385</v>
      </c>
    </row>
    <row r="63" spans="1:14" x14ac:dyDescent="0.25">
      <c r="A63" s="43">
        <f>'Input-Rainfall Data'!O62</f>
        <v>60</v>
      </c>
      <c r="B63" s="44" cm="1">
        <f t="array" ref="B63">_xlfn.XLOOKUP(A63,'Input-Rainfall Data'!$O$6:$O$74,_xlfn.XLOOKUP('OSD Mass-Curve'!$B$2,'Input-Rainfall Data'!$P$4:$V$4,'Input-Rainfall Data'!$P$6:$V$74))</f>
        <v>28.3</v>
      </c>
      <c r="C63" s="44">
        <f>'Design calculator'!F$32</f>
        <v>1</v>
      </c>
      <c r="D63" s="44">
        <f>'Design calculator'!F$33</f>
        <v>0.9</v>
      </c>
      <c r="E63" s="45">
        <f>'Design calculator'!F$34</f>
        <v>0.24339</v>
      </c>
      <c r="F63" s="46">
        <f t="shared" si="0"/>
        <v>450</v>
      </c>
      <c r="G63" s="46">
        <f>'Design calculator'!F$6</f>
        <v>300</v>
      </c>
      <c r="H63" s="46">
        <f>'Design calculator'!F$7</f>
        <v>150</v>
      </c>
      <c r="I63" s="46">
        <f>'Design calculator'!F$9</f>
        <v>-50</v>
      </c>
      <c r="J63" s="44">
        <f t="shared" si="1"/>
        <v>3.3239175416666669</v>
      </c>
      <c r="K63" s="44">
        <f t="shared" si="2"/>
        <v>11.96610315</v>
      </c>
      <c r="L63" s="44">
        <f t="shared" si="3"/>
        <v>2.6042729999999996</v>
      </c>
      <c r="M63" s="44">
        <f t="shared" si="4"/>
        <v>9.3753827999999988</v>
      </c>
      <c r="N63" s="47">
        <f t="shared" si="5"/>
        <v>2.5907203500000016</v>
      </c>
    </row>
    <row r="64" spans="1:14" x14ac:dyDescent="0.25">
      <c r="A64" s="43">
        <f>'Input-Rainfall Data'!O63</f>
        <v>65</v>
      </c>
      <c r="B64" s="44" cm="1">
        <f t="array" ref="B64">_xlfn.XLOOKUP(A64,'Input-Rainfall Data'!$O$6:$O$74,_xlfn.XLOOKUP('OSD Mass-Curve'!$B$2,'Input-Rainfall Data'!$P$4:$V$4,'Input-Rainfall Data'!$P$6:$V$74))</f>
        <v>27.35</v>
      </c>
      <c r="C64" s="44">
        <f>'Design calculator'!F$32</f>
        <v>1</v>
      </c>
      <c r="D64" s="44">
        <f>'Design calculator'!F$33</f>
        <v>0.9</v>
      </c>
      <c r="E64" s="45">
        <f>'Design calculator'!F$34</f>
        <v>0.24339</v>
      </c>
      <c r="F64" s="46">
        <f t="shared" si="0"/>
        <v>450</v>
      </c>
      <c r="G64" s="46">
        <f>'Design calculator'!F$6</f>
        <v>300</v>
      </c>
      <c r="H64" s="46">
        <f>'Design calculator'!F$7</f>
        <v>150</v>
      </c>
      <c r="I64" s="46">
        <f>'Design calculator'!F$9</f>
        <v>-50</v>
      </c>
      <c r="J64" s="44">
        <f t="shared" si="1"/>
        <v>3.2123372708333338</v>
      </c>
      <c r="K64" s="44">
        <f t="shared" si="2"/>
        <v>12.528115356250002</v>
      </c>
      <c r="L64" s="44">
        <f t="shared" si="3"/>
        <v>2.6042729999999996</v>
      </c>
      <c r="M64" s="44">
        <f t="shared" si="4"/>
        <v>10.156664699999999</v>
      </c>
      <c r="N64" s="47">
        <f t="shared" si="5"/>
        <v>2.3714506562500031</v>
      </c>
    </row>
    <row r="65" spans="1:14" x14ac:dyDescent="0.25">
      <c r="A65" s="43">
        <f>'Input-Rainfall Data'!O64</f>
        <v>70</v>
      </c>
      <c r="B65" s="44" cm="1">
        <f t="array" ref="B65">_xlfn.XLOOKUP(A65,'Input-Rainfall Data'!$O$6:$O$74,_xlfn.XLOOKUP('OSD Mass-Curve'!$B$2,'Input-Rainfall Data'!$P$4:$V$4,'Input-Rainfall Data'!$P$6:$V$74))</f>
        <v>26.400000000000002</v>
      </c>
      <c r="C65" s="44">
        <f>'Design calculator'!F$32</f>
        <v>1</v>
      </c>
      <c r="D65" s="44">
        <f>'Design calculator'!F$33</f>
        <v>0.9</v>
      </c>
      <c r="E65" s="45">
        <f>'Design calculator'!F$34</f>
        <v>0.24339</v>
      </c>
      <c r="F65" s="46">
        <f t="shared" si="0"/>
        <v>450</v>
      </c>
      <c r="G65" s="46">
        <f>'Design calculator'!F$6</f>
        <v>300</v>
      </c>
      <c r="H65" s="46">
        <f>'Design calculator'!F$7</f>
        <v>150</v>
      </c>
      <c r="I65" s="46">
        <f>'Design calculator'!F$9</f>
        <v>-50</v>
      </c>
      <c r="J65" s="44">
        <f t="shared" si="1"/>
        <v>3.1007570000000002</v>
      </c>
      <c r="K65" s="44">
        <f t="shared" si="2"/>
        <v>13.0231794</v>
      </c>
      <c r="L65" s="44">
        <f t="shared" si="3"/>
        <v>2.6042729999999996</v>
      </c>
      <c r="M65" s="44">
        <f t="shared" si="4"/>
        <v>10.9379466</v>
      </c>
      <c r="N65" s="47">
        <f t="shared" si="5"/>
        <v>2.0852328</v>
      </c>
    </row>
    <row r="66" spans="1:14" x14ac:dyDescent="0.25">
      <c r="A66" s="43">
        <f>'Input-Rainfall Data'!O65</f>
        <v>75</v>
      </c>
      <c r="B66" s="44" cm="1">
        <f t="array" ref="B66">_xlfn.XLOOKUP(A66,'Input-Rainfall Data'!$O$6:$O$74,_xlfn.XLOOKUP('OSD Mass-Curve'!$B$2,'Input-Rainfall Data'!$P$4:$V$4,'Input-Rainfall Data'!$P$6:$V$74))</f>
        <v>25.450000000000003</v>
      </c>
      <c r="C66" s="44">
        <f>'Design calculator'!F$32</f>
        <v>1</v>
      </c>
      <c r="D66" s="44">
        <f>'Design calculator'!F$33</f>
        <v>0.9</v>
      </c>
      <c r="E66" s="45">
        <f>'Design calculator'!F$34</f>
        <v>0.24339</v>
      </c>
      <c r="F66" s="46">
        <f t="shared" si="0"/>
        <v>450</v>
      </c>
      <c r="G66" s="46">
        <f>'Design calculator'!F$6</f>
        <v>300</v>
      </c>
      <c r="H66" s="46">
        <f>'Design calculator'!F$7</f>
        <v>150</v>
      </c>
      <c r="I66" s="46">
        <f>'Design calculator'!F$9</f>
        <v>-50</v>
      </c>
      <c r="J66" s="44">
        <f t="shared" si="1"/>
        <v>2.9891767291666671</v>
      </c>
      <c r="K66" s="44">
        <f t="shared" si="2"/>
        <v>13.451295281250003</v>
      </c>
      <c r="L66" s="44">
        <f t="shared" si="3"/>
        <v>2.6042729999999996</v>
      </c>
      <c r="M66" s="44">
        <f t="shared" si="4"/>
        <v>11.719228499999998</v>
      </c>
      <c r="N66" s="47">
        <f t="shared" si="5"/>
        <v>1.7320667812500048</v>
      </c>
    </row>
    <row r="67" spans="1:14" x14ac:dyDescent="0.25">
      <c r="A67" s="43">
        <f>'Input-Rainfall Data'!O66</f>
        <v>80</v>
      </c>
      <c r="B67" s="44" cm="1">
        <f t="array" ref="B67">_xlfn.XLOOKUP(A67,'Input-Rainfall Data'!$O$6:$O$74,_xlfn.XLOOKUP('OSD Mass-Curve'!$B$2,'Input-Rainfall Data'!$P$4:$V$4,'Input-Rainfall Data'!$P$6:$V$74))</f>
        <v>24.500000000000004</v>
      </c>
      <c r="C67" s="44">
        <f>'Design calculator'!F$32</f>
        <v>1</v>
      </c>
      <c r="D67" s="44">
        <f>'Design calculator'!F$33</f>
        <v>0.9</v>
      </c>
      <c r="E67" s="45">
        <f>'Design calculator'!F$34</f>
        <v>0.24339</v>
      </c>
      <c r="F67" s="46">
        <f t="shared" si="0"/>
        <v>450</v>
      </c>
      <c r="G67" s="46">
        <f>'Design calculator'!F$6</f>
        <v>300</v>
      </c>
      <c r="H67" s="46">
        <f>'Design calculator'!F$7</f>
        <v>150</v>
      </c>
      <c r="I67" s="46">
        <f>'Design calculator'!F$9</f>
        <v>-50</v>
      </c>
      <c r="J67" s="44">
        <f t="shared" si="1"/>
        <v>2.877596458333334</v>
      </c>
      <c r="K67" s="44">
        <f t="shared" si="2"/>
        <v>13.812463000000003</v>
      </c>
      <c r="L67" s="44">
        <f t="shared" si="3"/>
        <v>2.6042729999999996</v>
      </c>
      <c r="M67" s="44">
        <f t="shared" si="4"/>
        <v>12.500510399999998</v>
      </c>
      <c r="N67" s="47">
        <f t="shared" si="5"/>
        <v>1.311952600000005</v>
      </c>
    </row>
    <row r="68" spans="1:14" x14ac:dyDescent="0.25">
      <c r="A68" s="43">
        <f>'Input-Rainfall Data'!O67</f>
        <v>85</v>
      </c>
      <c r="B68" s="44" cm="1">
        <f t="array" ref="B68">_xlfn.XLOOKUP(A68,'Input-Rainfall Data'!$O$6:$O$74,_xlfn.XLOOKUP('OSD Mass-Curve'!$B$2,'Input-Rainfall Data'!$P$4:$V$4,'Input-Rainfall Data'!$P$6:$V$74))</f>
        <v>23.550000000000004</v>
      </c>
      <c r="C68" s="44">
        <f>'Design calculator'!F$32</f>
        <v>1</v>
      </c>
      <c r="D68" s="44">
        <f>'Design calculator'!F$33</f>
        <v>0.9</v>
      </c>
      <c r="E68" s="45">
        <f>'Design calculator'!F$34</f>
        <v>0.24339</v>
      </c>
      <c r="F68" s="46">
        <f t="shared" si="0"/>
        <v>450</v>
      </c>
      <c r="G68" s="46">
        <f>'Design calculator'!F$6</f>
        <v>300</v>
      </c>
      <c r="H68" s="46">
        <f>'Design calculator'!F$7</f>
        <v>150</v>
      </c>
      <c r="I68" s="46">
        <f>'Design calculator'!F$9</f>
        <v>-50</v>
      </c>
      <c r="J68" s="44">
        <f t="shared" si="1"/>
        <v>2.7660161875000004</v>
      </c>
      <c r="K68" s="44">
        <f t="shared" si="2"/>
        <v>14.106682556250002</v>
      </c>
      <c r="L68" s="44">
        <f t="shared" si="3"/>
        <v>2.6042729999999996</v>
      </c>
      <c r="M68" s="44">
        <f t="shared" si="4"/>
        <v>13.281792299999998</v>
      </c>
      <c r="N68" s="47">
        <f t="shared" si="5"/>
        <v>0.82489025625000423</v>
      </c>
    </row>
    <row r="69" spans="1:14" x14ac:dyDescent="0.25">
      <c r="A69" s="43">
        <f>'Input-Rainfall Data'!O68</f>
        <v>90</v>
      </c>
      <c r="B69" s="44" cm="1">
        <f t="array" ref="B69">_xlfn.XLOOKUP(A69,'Input-Rainfall Data'!$O$6:$O$74,_xlfn.XLOOKUP('OSD Mass-Curve'!$B$2,'Input-Rainfall Data'!$P$4:$V$4,'Input-Rainfall Data'!$P$6:$V$74))</f>
        <v>21.8</v>
      </c>
      <c r="C69" s="44">
        <f>'Design calculator'!F$32</f>
        <v>1</v>
      </c>
      <c r="D69" s="44">
        <f>'Design calculator'!F$33</f>
        <v>0.9</v>
      </c>
      <c r="E69" s="45">
        <f>'Design calculator'!F$34</f>
        <v>0.24339</v>
      </c>
      <c r="F69" s="46">
        <f t="shared" si="0"/>
        <v>450</v>
      </c>
      <c r="G69" s="46">
        <f>'Design calculator'!F$6</f>
        <v>300</v>
      </c>
      <c r="H69" s="46">
        <f>'Design calculator'!F$7</f>
        <v>150</v>
      </c>
      <c r="I69" s="46">
        <f>'Design calculator'!F$9</f>
        <v>-50</v>
      </c>
      <c r="J69" s="44">
        <f t="shared" si="1"/>
        <v>2.5604735833333336</v>
      </c>
      <c r="K69" s="44">
        <f t="shared" si="2"/>
        <v>13.826557350000002</v>
      </c>
      <c r="L69" s="44">
        <f t="shared" si="3"/>
        <v>2.6042729999999996</v>
      </c>
      <c r="M69" s="44">
        <f t="shared" si="4"/>
        <v>14.063074199999997</v>
      </c>
      <c r="N69" s="47">
        <f t="shared" si="5"/>
        <v>-0.23651684999999567</v>
      </c>
    </row>
    <row r="70" spans="1:14" x14ac:dyDescent="0.25">
      <c r="A70" s="43">
        <f>'Input-Rainfall Data'!O69</f>
        <v>95</v>
      </c>
      <c r="B70" s="44" cm="1">
        <f t="array" ref="B70">_xlfn.XLOOKUP(A70,'Input-Rainfall Data'!$O$6:$O$74,_xlfn.XLOOKUP('OSD Mass-Curve'!$B$2,'Input-Rainfall Data'!$P$4:$V$4,'Input-Rainfall Data'!$P$6:$V$74))</f>
        <v>21.266666666666666</v>
      </c>
      <c r="C70" s="44">
        <f>'Design calculator'!F$32</f>
        <v>1</v>
      </c>
      <c r="D70" s="44">
        <f>'Design calculator'!F$33</f>
        <v>0.9</v>
      </c>
      <c r="E70" s="45">
        <f>'Design calculator'!F$34</f>
        <v>0.24339</v>
      </c>
      <c r="F70" s="46">
        <f t="shared" si="0"/>
        <v>450</v>
      </c>
      <c r="G70" s="46">
        <f>'Design calculator'!F$6</f>
        <v>300</v>
      </c>
      <c r="H70" s="46">
        <f>'Design calculator'!F$7</f>
        <v>150</v>
      </c>
      <c r="I70" s="46">
        <f>'Design calculator'!F$9</f>
        <v>-50</v>
      </c>
      <c r="J70" s="44">
        <f t="shared" si="1"/>
        <v>2.4978320277777777</v>
      </c>
      <c r="K70" s="44">
        <f t="shared" si="2"/>
        <v>14.237642558333333</v>
      </c>
      <c r="L70" s="44">
        <f t="shared" si="3"/>
        <v>2.6042729999999996</v>
      </c>
      <c r="M70" s="44">
        <f t="shared" si="4"/>
        <v>14.844356099999999</v>
      </c>
      <c r="N70" s="47">
        <f t="shared" si="5"/>
        <v>-0.60671354166666625</v>
      </c>
    </row>
    <row r="71" spans="1:14" x14ac:dyDescent="0.25">
      <c r="A71" s="43">
        <f>'Input-Rainfall Data'!O70</f>
        <v>100</v>
      </c>
      <c r="B71" s="44" cm="1">
        <f t="array" ref="B71">_xlfn.XLOOKUP(A71,'Input-Rainfall Data'!$O$6:$O$74,_xlfn.XLOOKUP('OSD Mass-Curve'!$B$2,'Input-Rainfall Data'!$P$4:$V$4,'Input-Rainfall Data'!$P$6:$V$74))</f>
        <v>20.733333333333331</v>
      </c>
      <c r="C71" s="44">
        <f>'Design calculator'!F$32</f>
        <v>1</v>
      </c>
      <c r="D71" s="44">
        <f>'Design calculator'!F$33</f>
        <v>0.9</v>
      </c>
      <c r="E71" s="45">
        <f>'Design calculator'!F$34</f>
        <v>0.24339</v>
      </c>
      <c r="F71" s="46">
        <f t="shared" si="0"/>
        <v>450</v>
      </c>
      <c r="G71" s="46">
        <f>'Design calculator'!F$6</f>
        <v>300</v>
      </c>
      <c r="H71" s="46">
        <f>'Design calculator'!F$7</f>
        <v>150</v>
      </c>
      <c r="I71" s="46">
        <f>'Design calculator'!F$9</f>
        <v>-50</v>
      </c>
      <c r="J71" s="44">
        <f t="shared" si="1"/>
        <v>2.4351904722222222</v>
      </c>
      <c r="K71" s="44">
        <f t="shared" si="2"/>
        <v>14.611142833333334</v>
      </c>
      <c r="L71" s="44">
        <f t="shared" si="3"/>
        <v>2.6042729999999996</v>
      </c>
      <c r="M71" s="44">
        <f t="shared" si="4"/>
        <v>15.625637999999997</v>
      </c>
      <c r="N71" s="47">
        <f t="shared" si="5"/>
        <v>-1.0144951666666628</v>
      </c>
    </row>
    <row r="72" spans="1:14" x14ac:dyDescent="0.25">
      <c r="A72" s="43">
        <f>'Input-Rainfall Data'!O71</f>
        <v>105</v>
      </c>
      <c r="B72" s="44" cm="1">
        <f t="array" ref="B72">_xlfn.XLOOKUP(A72,'Input-Rainfall Data'!$O$6:$O$74,_xlfn.XLOOKUP('OSD Mass-Curve'!$B$2,'Input-Rainfall Data'!$P$4:$V$4,'Input-Rainfall Data'!$P$6:$V$74))</f>
        <v>20.199999999999996</v>
      </c>
      <c r="C72" s="44">
        <f>'Design calculator'!F$32</f>
        <v>1</v>
      </c>
      <c r="D72" s="44">
        <f>'Design calculator'!F$33</f>
        <v>0.9</v>
      </c>
      <c r="E72" s="45">
        <f>'Design calculator'!F$34</f>
        <v>0.24339</v>
      </c>
      <c r="F72" s="46">
        <f t="shared" ref="F72:F75" si="6">G72+H72</f>
        <v>450</v>
      </c>
      <c r="G72" s="46">
        <f>'Design calculator'!F$6</f>
        <v>300</v>
      </c>
      <c r="H72" s="46">
        <f>'Design calculator'!F$7</f>
        <v>150</v>
      </c>
      <c r="I72" s="46">
        <f>'Design calculator'!F$9</f>
        <v>-50</v>
      </c>
      <c r="J72" s="44">
        <f t="shared" ref="J72:J75" si="7">((G72*C72)+(H72*D72)+(I72*E72))*B72/3600</f>
        <v>2.3725489166666662</v>
      </c>
      <c r="K72" s="44">
        <f t="shared" ref="K72:K75" si="8">A72*J72*60/1000</f>
        <v>14.947058174999997</v>
      </c>
      <c r="L72" s="44">
        <f t="shared" ref="L72:L75" si="9">B$4</f>
        <v>2.6042729999999996</v>
      </c>
      <c r="M72" s="44">
        <f t="shared" ref="M72:M75" si="10">A72*L72*60/1000</f>
        <v>16.406919899999998</v>
      </c>
      <c r="N72" s="47">
        <f t="shared" ref="N72:N75" si="11">K72-M72</f>
        <v>-1.4598617250000014</v>
      </c>
    </row>
    <row r="73" spans="1:14" x14ac:dyDescent="0.25">
      <c r="A73" s="43">
        <f>'Input-Rainfall Data'!O72</f>
        <v>110</v>
      </c>
      <c r="B73" s="44" cm="1">
        <f t="array" ref="B73">_xlfn.XLOOKUP(A73,'Input-Rainfall Data'!$O$6:$O$74,_xlfn.XLOOKUP('OSD Mass-Curve'!$B$2,'Input-Rainfall Data'!$P$4:$V$4,'Input-Rainfall Data'!$P$6:$V$74))</f>
        <v>19.666666666666661</v>
      </c>
      <c r="C73" s="44">
        <f>'Design calculator'!F$32</f>
        <v>1</v>
      </c>
      <c r="D73" s="44">
        <f>'Design calculator'!F$33</f>
        <v>0.9</v>
      </c>
      <c r="E73" s="45">
        <f>'Design calculator'!F$34</f>
        <v>0.24339</v>
      </c>
      <c r="F73" s="46">
        <f t="shared" si="6"/>
        <v>450</v>
      </c>
      <c r="G73" s="46">
        <f>'Design calculator'!F$6</f>
        <v>300</v>
      </c>
      <c r="H73" s="46">
        <f>'Design calculator'!F$7</f>
        <v>150</v>
      </c>
      <c r="I73" s="46">
        <f>'Design calculator'!F$9</f>
        <v>-50</v>
      </c>
      <c r="J73" s="44">
        <f t="shared" si="7"/>
        <v>2.3099073611111103</v>
      </c>
      <c r="K73" s="44">
        <f t="shared" si="8"/>
        <v>15.245388583333328</v>
      </c>
      <c r="L73" s="44">
        <f t="shared" si="9"/>
        <v>2.6042729999999996</v>
      </c>
      <c r="M73" s="44">
        <f t="shared" si="10"/>
        <v>17.188201799999995</v>
      </c>
      <c r="N73" s="47">
        <f t="shared" si="11"/>
        <v>-1.9428132166666661</v>
      </c>
    </row>
    <row r="74" spans="1:14" x14ac:dyDescent="0.25">
      <c r="A74" s="43">
        <f>'Input-Rainfall Data'!O73</f>
        <v>115</v>
      </c>
      <c r="B74" s="44" cm="1">
        <f t="array" ref="B74">_xlfn.XLOOKUP(A74,'Input-Rainfall Data'!$O$6:$O$74,_xlfn.XLOOKUP('OSD Mass-Curve'!$B$2,'Input-Rainfall Data'!$P$4:$V$4,'Input-Rainfall Data'!$P$6:$V$74))</f>
        <v>19.133333333333326</v>
      </c>
      <c r="C74" s="44">
        <f>'Design calculator'!F$32</f>
        <v>1</v>
      </c>
      <c r="D74" s="44">
        <f>'Design calculator'!F$33</f>
        <v>0.9</v>
      </c>
      <c r="E74" s="45">
        <f>'Design calculator'!F$34</f>
        <v>0.24339</v>
      </c>
      <c r="F74" s="46">
        <f t="shared" si="6"/>
        <v>450</v>
      </c>
      <c r="G74" s="46">
        <f>'Design calculator'!F$6</f>
        <v>300</v>
      </c>
      <c r="H74" s="46">
        <f>'Design calculator'!F$7</f>
        <v>150</v>
      </c>
      <c r="I74" s="46">
        <f>'Design calculator'!F$9</f>
        <v>-50</v>
      </c>
      <c r="J74" s="44">
        <f t="shared" si="7"/>
        <v>2.2472658055555548</v>
      </c>
      <c r="K74" s="44">
        <f t="shared" si="8"/>
        <v>15.506134058333329</v>
      </c>
      <c r="L74" s="44">
        <f t="shared" si="9"/>
        <v>2.6042729999999996</v>
      </c>
      <c r="M74" s="44">
        <f t="shared" si="10"/>
        <v>17.969483699999998</v>
      </c>
      <c r="N74" s="47">
        <f t="shared" si="11"/>
        <v>-2.4633496416666691</v>
      </c>
    </row>
    <row r="75" spans="1:14" ht="15.75" thickBot="1" x14ac:dyDescent="0.3">
      <c r="A75" s="48">
        <f>'Input-Rainfall Data'!O74</f>
        <v>120</v>
      </c>
      <c r="B75" s="49" cm="1">
        <f t="array" ref="B75">_xlfn.XLOOKUP(A75,'Input-Rainfall Data'!$O$6:$O$74,_xlfn.XLOOKUP('OSD Mass-Curve'!$B$2,'Input-Rainfall Data'!$P$4:$V$4,'Input-Rainfall Data'!$P$6:$V$74))</f>
        <v>18.100000000000001</v>
      </c>
      <c r="C75" s="49">
        <f>'Design calculator'!F$32</f>
        <v>1</v>
      </c>
      <c r="D75" s="49">
        <f>'Design calculator'!F$33</f>
        <v>0.9</v>
      </c>
      <c r="E75" s="50">
        <f>'Design calculator'!F$34</f>
        <v>0.24339</v>
      </c>
      <c r="F75" s="46">
        <f t="shared" si="6"/>
        <v>450</v>
      </c>
      <c r="G75" s="51">
        <f>'Design calculator'!F$6</f>
        <v>300</v>
      </c>
      <c r="H75" s="51">
        <f>'Design calculator'!F$7</f>
        <v>150</v>
      </c>
      <c r="I75" s="51">
        <f>'Design calculator'!F$9</f>
        <v>-50</v>
      </c>
      <c r="J75" s="49">
        <f t="shared" si="7"/>
        <v>2.125897791666667</v>
      </c>
      <c r="K75" s="49">
        <f t="shared" si="8"/>
        <v>15.306464100000003</v>
      </c>
      <c r="L75" s="49">
        <f t="shared" si="9"/>
        <v>2.6042729999999996</v>
      </c>
      <c r="M75" s="49">
        <f t="shared" si="10"/>
        <v>18.750765599999998</v>
      </c>
      <c r="N75" s="52">
        <f t="shared" si="11"/>
        <v>-3.4443014999999946</v>
      </c>
    </row>
  </sheetData>
  <sheetProtection algorithmName="SHA-512" hashValue="Nvo62X0oTOGw1HK2Ecrc6/jKZh8EyM8K/mmagsHq2KPe+HDkDMRMDpJ1Aa1Ggdb18YpT3ljHTqRvYVjT7fnzPQ==" saltValue="rZjwB5ZUxXWdamSGPHK9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137D-E947-4210-B325-8942648E020A}">
  <sheetPr codeName="Sheet6"/>
  <dimension ref="A1:M229"/>
  <sheetViews>
    <sheetView topLeftCell="A55" zoomScale="90" zoomScaleNormal="90" workbookViewId="0">
      <selection activeCell="K55" sqref="K55"/>
    </sheetView>
  </sheetViews>
  <sheetFormatPr defaultRowHeight="15" x14ac:dyDescent="0.25"/>
  <cols>
    <col min="2" max="2" width="9.7109375" customWidth="1"/>
    <col min="3" max="3" width="12.42578125" bestFit="1" customWidth="1"/>
    <col min="4" max="4" width="14.140625" bestFit="1" customWidth="1"/>
    <col min="5" max="5" width="14.7109375" bestFit="1" customWidth="1"/>
    <col min="6" max="6" width="16" bestFit="1" customWidth="1"/>
    <col min="7" max="7" width="18" bestFit="1" customWidth="1"/>
    <col min="8" max="8" width="19.42578125" customWidth="1"/>
    <col min="9" max="9" width="20.7109375" bestFit="1" customWidth="1"/>
    <col min="12" max="13" width="19.42578125" customWidth="1"/>
  </cols>
  <sheetData>
    <row r="1" spans="1:13" ht="18.75" hidden="1" x14ac:dyDescent="0.25">
      <c r="B1" s="434" t="s">
        <v>231</v>
      </c>
      <c r="C1" s="434"/>
      <c r="D1" s="434"/>
      <c r="E1" s="434"/>
      <c r="F1" s="434"/>
      <c r="G1" s="434"/>
      <c r="H1" s="434"/>
      <c r="I1" s="434"/>
    </row>
    <row r="2" spans="1:13" ht="14.45" hidden="1" customHeight="1" x14ac:dyDescent="0.25">
      <c r="B2" s="435" t="s">
        <v>127</v>
      </c>
      <c r="C2" s="435"/>
      <c r="D2" s="435"/>
      <c r="E2" s="435"/>
      <c r="F2" s="435"/>
      <c r="G2" s="435"/>
      <c r="H2" s="435"/>
      <c r="I2" s="435"/>
    </row>
    <row r="3" spans="1:13" ht="30" hidden="1" x14ac:dyDescent="0.25">
      <c r="B3" s="10" t="s">
        <v>141</v>
      </c>
      <c r="C3" s="11" t="s">
        <v>232</v>
      </c>
      <c r="D3" s="10" t="s">
        <v>61</v>
      </c>
      <c r="E3" s="10" t="s">
        <v>233</v>
      </c>
      <c r="F3" s="10" t="s">
        <v>234</v>
      </c>
      <c r="G3" s="10" t="s">
        <v>63</v>
      </c>
      <c r="H3" s="12" t="s">
        <v>235</v>
      </c>
      <c r="I3" s="10" t="s">
        <v>236</v>
      </c>
      <c r="M3" s="15"/>
    </row>
    <row r="4" spans="1:13" hidden="1" x14ac:dyDescent="0.25">
      <c r="A4">
        <v>1</v>
      </c>
      <c r="B4" s="1" t="s">
        <v>142</v>
      </c>
      <c r="C4" s="1">
        <f>'Input-Rainfall Data'!D11</f>
        <v>114</v>
      </c>
      <c r="D4" s="4">
        <f>(('Design calculator'!F$6*'Design calculator'!F$32)+('Design calculator'!F$7*'Design calculator'!F$33)+('Design calculator'!F$9*'Design calculator'!F$34))*C4/3600</f>
        <v>13.389632500000001</v>
      </c>
      <c r="E4" s="1">
        <f>1*60</f>
        <v>60</v>
      </c>
      <c r="F4" s="3">
        <f t="shared" ref="F4:F32" si="0">D4*E4</f>
        <v>803.37795000000006</v>
      </c>
      <c r="G4" s="2">
        <f t="shared" ref="G4:G32" si="1">F4/1000</f>
        <v>0.80337795000000001</v>
      </c>
      <c r="H4" s="8">
        <f>'Design calculator'!H$50*E4</f>
        <v>1.0390817701748242E-3</v>
      </c>
      <c r="I4" s="4">
        <f>G4-H4</f>
        <v>0.80233886822982514</v>
      </c>
      <c r="M4" s="4"/>
    </row>
    <row r="5" spans="1:13" hidden="1" x14ac:dyDescent="0.25">
      <c r="A5">
        <v>2</v>
      </c>
      <c r="B5" s="1" t="s">
        <v>143</v>
      </c>
      <c r="C5" s="1">
        <f>'Input-Rainfall Data'!D12</f>
        <v>98.7</v>
      </c>
      <c r="D5" s="4">
        <f>(('Design calculator'!F$6*'Design calculator'!F$32)+('Design calculator'!F$7*'Design calculator'!F$33)+('Design calculator'!F$9*'Design calculator'!F$34))*C5/3600</f>
        <v>11.592602875000001</v>
      </c>
      <c r="E5" s="1">
        <f>2*60</f>
        <v>120</v>
      </c>
      <c r="F5" s="3">
        <f t="shared" si="0"/>
        <v>1391.112345</v>
      </c>
      <c r="G5" s="2">
        <f t="shared" si="1"/>
        <v>1.391112345</v>
      </c>
      <c r="H5" s="8">
        <f>'Design calculator'!H$50*E5</f>
        <v>2.0781635403496483E-3</v>
      </c>
      <c r="I5" s="4">
        <f t="shared" ref="I5:I32" si="2">G5-H5</f>
        <v>1.3890341814596503</v>
      </c>
      <c r="M5" s="4"/>
    </row>
    <row r="6" spans="1:13" hidden="1" x14ac:dyDescent="0.25">
      <c r="A6">
        <v>3</v>
      </c>
      <c r="B6" s="1" t="s">
        <v>144</v>
      </c>
      <c r="C6" s="1">
        <f>'Input-Rainfall Data'!D13</f>
        <v>88.3</v>
      </c>
      <c r="D6" s="4">
        <f>(('Design calculator'!F$6*'Design calculator'!F$32)+('Design calculator'!F$7*'Design calculator'!F$33)+('Design calculator'!F$9*'Design calculator'!F$34))*C6/3600</f>
        <v>10.371092541666668</v>
      </c>
      <c r="E6" s="1">
        <f>3*60</f>
        <v>180</v>
      </c>
      <c r="F6" s="3">
        <f t="shared" si="0"/>
        <v>1866.7966575000003</v>
      </c>
      <c r="G6" s="2">
        <f t="shared" si="1"/>
        <v>1.8667966575000003</v>
      </c>
      <c r="H6" s="8">
        <f>'Design calculator'!H$50*E6</f>
        <v>3.1172453105244723E-3</v>
      </c>
      <c r="I6" s="4">
        <f t="shared" si="2"/>
        <v>1.863679412189476</v>
      </c>
      <c r="M6" s="4"/>
    </row>
    <row r="7" spans="1:13" hidden="1" x14ac:dyDescent="0.25">
      <c r="A7">
        <v>4</v>
      </c>
      <c r="B7" s="1" t="s">
        <v>145</v>
      </c>
      <c r="C7" s="1">
        <f>'Input-Rainfall Data'!D14</f>
        <v>80.3</v>
      </c>
      <c r="D7" s="4">
        <f>(('Design calculator'!F$6*'Design calculator'!F$32)+('Design calculator'!F$7*'Design calculator'!F$33)+('Design calculator'!F$9*'Design calculator'!F$34))*C7/3600</f>
        <v>9.4314692083333345</v>
      </c>
      <c r="E7" s="1">
        <f>4*60</f>
        <v>240</v>
      </c>
      <c r="F7" s="3">
        <f t="shared" si="0"/>
        <v>2263.5526100000002</v>
      </c>
      <c r="G7" s="2">
        <f t="shared" si="1"/>
        <v>2.2635526100000001</v>
      </c>
      <c r="H7" s="8">
        <f>'Design calculator'!H$50*E7</f>
        <v>4.1563270806992967E-3</v>
      </c>
      <c r="I7" s="4">
        <f t="shared" si="2"/>
        <v>2.2593962829193006</v>
      </c>
      <c r="M7" s="4"/>
    </row>
    <row r="8" spans="1:13" hidden="1" x14ac:dyDescent="0.25">
      <c r="A8">
        <v>5</v>
      </c>
      <c r="B8" s="1" t="s">
        <v>146</v>
      </c>
      <c r="C8" s="1">
        <f>'Input-Rainfall Data'!D15</f>
        <v>73.8</v>
      </c>
      <c r="D8" s="4">
        <f>(('Design calculator'!F$6*'Design calculator'!F$32)+('Design calculator'!F$7*'Design calculator'!F$33)+('Design calculator'!F$9*'Design calculator'!F$34))*C8/3600</f>
        <v>8.6680252500000012</v>
      </c>
      <c r="E8" s="1">
        <f>5*60</f>
        <v>300</v>
      </c>
      <c r="F8" s="3">
        <f t="shared" si="0"/>
        <v>2600.4075750000002</v>
      </c>
      <c r="G8" s="2">
        <f t="shared" si="1"/>
        <v>2.6004075750000002</v>
      </c>
      <c r="H8" s="8">
        <f>'Design calculator'!H$50*E8</f>
        <v>5.1954088508741206E-3</v>
      </c>
      <c r="I8" s="4">
        <f t="shared" si="2"/>
        <v>2.5952121661491261</v>
      </c>
      <c r="M8" s="4"/>
    </row>
    <row r="9" spans="1:13" hidden="1" x14ac:dyDescent="0.25">
      <c r="A9">
        <v>10</v>
      </c>
      <c r="B9" s="1" t="s">
        <v>147</v>
      </c>
      <c r="C9" s="1">
        <f>'Input-Rainfall Data'!D16</f>
        <v>53.9</v>
      </c>
      <c r="D9" s="4">
        <f>(('Design calculator'!F$6*'Design calculator'!F$32)+('Design calculator'!F$7*'Design calculator'!F$33)+('Design calculator'!F$9*'Design calculator'!F$34))*C9/3600</f>
        <v>6.3307122083333329</v>
      </c>
      <c r="E9" s="1">
        <f>10*60</f>
        <v>600</v>
      </c>
      <c r="F9" s="3">
        <f t="shared" si="0"/>
        <v>3798.4273249999997</v>
      </c>
      <c r="G9" s="2">
        <f t="shared" si="1"/>
        <v>3.7984273249999996</v>
      </c>
      <c r="H9" s="8">
        <f>'Design calculator'!H$50*E9</f>
        <v>1.0390817701748241E-2</v>
      </c>
      <c r="I9" s="4">
        <f t="shared" si="2"/>
        <v>3.7880365072982514</v>
      </c>
      <c r="M9" s="4"/>
    </row>
    <row r="10" spans="1:13" hidden="1" x14ac:dyDescent="0.25">
      <c r="A10">
        <v>15</v>
      </c>
      <c r="B10" s="1" t="s">
        <v>148</v>
      </c>
      <c r="C10" s="1">
        <f>'Input-Rainfall Data'!D17</f>
        <v>43.5</v>
      </c>
      <c r="D10" s="4">
        <f>(('Design calculator'!F$6*'Design calculator'!F$32)+('Design calculator'!F$7*'Design calculator'!F$33)+('Design calculator'!F$9*'Design calculator'!F$34))*C10/3600</f>
        <v>5.109201875000001</v>
      </c>
      <c r="E10" s="1">
        <f>15*60</f>
        <v>900</v>
      </c>
      <c r="F10" s="3">
        <f t="shared" si="0"/>
        <v>4598.2816875000008</v>
      </c>
      <c r="G10" s="2">
        <f t="shared" si="1"/>
        <v>4.598281687500001</v>
      </c>
      <c r="H10" s="8">
        <f>'Design calculator'!H$50*E10</f>
        <v>1.5586226552622363E-2</v>
      </c>
      <c r="I10" s="4">
        <f t="shared" si="2"/>
        <v>4.5826954609473782</v>
      </c>
      <c r="M10" s="4"/>
    </row>
    <row r="11" spans="1:13" hidden="1" x14ac:dyDescent="0.25">
      <c r="A11">
        <v>20</v>
      </c>
      <c r="B11" s="1" t="s">
        <v>149</v>
      </c>
      <c r="C11" s="1">
        <f>'Input-Rainfall Data'!D18</f>
        <v>36.9</v>
      </c>
      <c r="D11" s="4">
        <f>(('Design calculator'!F$6*'Design calculator'!F$32)+('Design calculator'!F$7*'Design calculator'!F$33)+('Design calculator'!F$9*'Design calculator'!F$34))*C11/3600</f>
        <v>4.3340126250000006</v>
      </c>
      <c r="E11" s="1">
        <f>20*60</f>
        <v>1200</v>
      </c>
      <c r="F11" s="3">
        <f t="shared" si="0"/>
        <v>5200.8151500000004</v>
      </c>
      <c r="G11" s="2">
        <f t="shared" si="1"/>
        <v>5.2008151500000004</v>
      </c>
      <c r="H11" s="8">
        <f>'Design calculator'!H$50*E11</f>
        <v>2.0781635403496482E-2</v>
      </c>
      <c r="I11" s="4">
        <f t="shared" si="2"/>
        <v>5.180033514596504</v>
      </c>
      <c r="M11" s="4"/>
    </row>
    <row r="12" spans="1:13" hidden="1" x14ac:dyDescent="0.25">
      <c r="A12">
        <v>25</v>
      </c>
      <c r="B12" s="1" t="s">
        <v>150</v>
      </c>
      <c r="C12" s="1">
        <f>'Input-Rainfall Data'!D19</f>
        <v>32.299999999999997</v>
      </c>
      <c r="D12" s="4">
        <f>(('Design calculator'!F$6*'Design calculator'!F$32)+('Design calculator'!F$7*'Design calculator'!F$33)+('Design calculator'!F$9*'Design calculator'!F$34))*C12/3600</f>
        <v>3.7937292083333332</v>
      </c>
      <c r="E12" s="1">
        <f>25*60</f>
        <v>1500</v>
      </c>
      <c r="F12" s="3">
        <f t="shared" si="0"/>
        <v>5690.5938124999993</v>
      </c>
      <c r="G12" s="2">
        <f t="shared" si="1"/>
        <v>5.6905938124999995</v>
      </c>
      <c r="H12" s="8">
        <f>'Design calculator'!H$50*E12</f>
        <v>2.5977044254370602E-2</v>
      </c>
      <c r="I12" s="4">
        <f t="shared" si="2"/>
        <v>5.6646167682456285</v>
      </c>
      <c r="M12" s="4"/>
    </row>
    <row r="13" spans="1:13" hidden="1" x14ac:dyDescent="0.25">
      <c r="A13">
        <v>30</v>
      </c>
      <c r="B13" s="1" t="s">
        <v>151</v>
      </c>
      <c r="C13" s="1">
        <f>'Input-Rainfall Data'!D20</f>
        <v>28.9</v>
      </c>
      <c r="D13" s="4">
        <f>(('Design calculator'!F$6*'Design calculator'!F$32)+('Design calculator'!F$7*'Design calculator'!F$33)+('Design calculator'!F$9*'Design calculator'!F$34))*C13/3600</f>
        <v>3.3943892916666667</v>
      </c>
      <c r="E13" s="1">
        <f>30*60</f>
        <v>1800</v>
      </c>
      <c r="F13" s="3">
        <f t="shared" si="0"/>
        <v>6109.9007250000004</v>
      </c>
      <c r="G13" s="2">
        <f t="shared" si="1"/>
        <v>6.1099007250000001</v>
      </c>
      <c r="H13" s="8">
        <f>'Design calculator'!H$50*E13</f>
        <v>3.1172453105244725E-2</v>
      </c>
      <c r="I13" s="4">
        <f t="shared" si="2"/>
        <v>6.0787282718947555</v>
      </c>
      <c r="M13" s="4"/>
    </row>
    <row r="14" spans="1:13" hidden="1" x14ac:dyDescent="0.25">
      <c r="A14">
        <v>45</v>
      </c>
      <c r="B14" s="1" t="s">
        <v>152</v>
      </c>
      <c r="C14" s="1">
        <f>'Input-Rainfall Data'!D21</f>
        <v>22.5</v>
      </c>
      <c r="D14" s="4">
        <f>(('Design calculator'!F$6*'Design calculator'!F$32)+('Design calculator'!F$7*'Design calculator'!F$33)+('Design calculator'!F$9*'Design calculator'!F$34))*C14/3600</f>
        <v>2.6426906250000002</v>
      </c>
      <c r="E14" s="1">
        <f>45*60</f>
        <v>2700</v>
      </c>
      <c r="F14" s="3">
        <f t="shared" si="0"/>
        <v>7135.2646875000009</v>
      </c>
      <c r="G14" s="2">
        <f t="shared" si="1"/>
        <v>7.1352646875000012</v>
      </c>
      <c r="H14" s="8">
        <f>'Design calculator'!H$50*E14</f>
        <v>4.6758679657867085E-2</v>
      </c>
      <c r="I14" s="4">
        <f t="shared" si="2"/>
        <v>7.0885060078421338</v>
      </c>
      <c r="M14" s="4"/>
    </row>
    <row r="15" spans="1:13" hidden="1" x14ac:dyDescent="0.25">
      <c r="A15">
        <v>60</v>
      </c>
      <c r="B15" s="1" t="s">
        <v>153</v>
      </c>
      <c r="C15" s="1">
        <f>'Input-Rainfall Data'!D22</f>
        <v>18.7</v>
      </c>
      <c r="D15" s="4">
        <f>(('Design calculator'!F$6*'Design calculator'!F$32)+('Design calculator'!F$7*'Design calculator'!F$33)+('Design calculator'!F$9*'Design calculator'!F$34))*C15/3600</f>
        <v>2.1963695416666669</v>
      </c>
      <c r="E15" s="1">
        <f>60*60</f>
        <v>3600</v>
      </c>
      <c r="F15" s="3">
        <f t="shared" si="0"/>
        <v>7906.9303500000005</v>
      </c>
      <c r="G15" s="2">
        <f t="shared" si="1"/>
        <v>7.9069303500000006</v>
      </c>
      <c r="H15" s="8">
        <f>'Design calculator'!H$50*E15</f>
        <v>6.2344906210489451E-2</v>
      </c>
      <c r="I15" s="4">
        <f t="shared" si="2"/>
        <v>7.8445854437895113</v>
      </c>
      <c r="K15" s="7"/>
      <c r="M15" s="4"/>
    </row>
    <row r="16" spans="1:13" hidden="1" x14ac:dyDescent="0.25">
      <c r="A16">
        <v>90</v>
      </c>
      <c r="B16" s="1" t="s">
        <v>154</v>
      </c>
      <c r="C16" s="1">
        <f>'Input-Rainfall Data'!D23</f>
        <v>14.4</v>
      </c>
      <c r="D16" s="4">
        <f>(('Design calculator'!F$6*'Design calculator'!F$32)+('Design calculator'!F$7*'Design calculator'!F$33)+('Design calculator'!F$9*'Design calculator'!F$34))*C16/3600</f>
        <v>1.6913220000000002</v>
      </c>
      <c r="E16" s="1">
        <f>1.5*3600</f>
        <v>5400</v>
      </c>
      <c r="F16" s="3">
        <f t="shared" si="0"/>
        <v>9133.1388000000006</v>
      </c>
      <c r="G16" s="2">
        <f t="shared" si="1"/>
        <v>9.1331388000000011</v>
      </c>
      <c r="H16" s="8">
        <f>'Design calculator'!H$50*E16</f>
        <v>9.3517359315734169E-2</v>
      </c>
      <c r="I16" s="4">
        <f t="shared" si="2"/>
        <v>9.0396214406842663</v>
      </c>
      <c r="M16" s="4"/>
    </row>
    <row r="17" spans="1:13" hidden="1" x14ac:dyDescent="0.25">
      <c r="A17">
        <v>120</v>
      </c>
      <c r="B17" s="1" t="s">
        <v>155</v>
      </c>
      <c r="C17" s="1">
        <f>'Input-Rainfall Data'!D24</f>
        <v>11.9</v>
      </c>
      <c r="D17" s="4">
        <f>(('Design calculator'!F$6*'Design calculator'!F$32)+('Design calculator'!F$7*'Design calculator'!F$33)+('Design calculator'!F$9*'Design calculator'!F$34))*C17/3600</f>
        <v>1.3976897083333335</v>
      </c>
      <c r="E17" s="1">
        <f>2*3600</f>
        <v>7200</v>
      </c>
      <c r="F17" s="3">
        <f t="shared" si="0"/>
        <v>10063.365900000001</v>
      </c>
      <c r="G17" s="2">
        <f t="shared" si="1"/>
        <v>10.063365900000001</v>
      </c>
      <c r="H17" s="8">
        <f>'Design calculator'!H$50*E17</f>
        <v>0.1246898124209789</v>
      </c>
      <c r="I17" s="4">
        <f t="shared" si="2"/>
        <v>9.9386760875790223</v>
      </c>
      <c r="M17" s="4"/>
    </row>
    <row r="18" spans="1:13" hidden="1" x14ac:dyDescent="0.25">
      <c r="A18">
        <v>180</v>
      </c>
      <c r="B18" s="1" t="s">
        <v>156</v>
      </c>
      <c r="C18" s="1">
        <f>'Input-Rainfall Data'!D25</f>
        <v>9.16</v>
      </c>
      <c r="D18" s="4">
        <f>(('Design calculator'!F$6*'Design calculator'!F$32)+('Design calculator'!F$7*'Design calculator'!F$33)+('Design calculator'!F$9*'Design calculator'!F$34))*C18/3600</f>
        <v>1.0758687166666667</v>
      </c>
      <c r="E18" s="1">
        <f>3*3600</f>
        <v>10800</v>
      </c>
      <c r="F18" s="3">
        <f t="shared" si="0"/>
        <v>11619.382140000002</v>
      </c>
      <c r="G18" s="2">
        <f t="shared" si="1"/>
        <v>11.619382140000001</v>
      </c>
      <c r="H18" s="8">
        <f>'Design calculator'!H$50*E18</f>
        <v>0.18703471863146834</v>
      </c>
      <c r="I18" s="4">
        <f t="shared" si="2"/>
        <v>11.432347421368533</v>
      </c>
      <c r="M18" s="4"/>
    </row>
    <row r="19" spans="1:13" hidden="1" x14ac:dyDescent="0.25">
      <c r="A19">
        <v>270</v>
      </c>
      <c r="B19" s="1" t="s">
        <v>157</v>
      </c>
      <c r="C19" s="1">
        <f>'Input-Rainfall Data'!D26</f>
        <v>7.04</v>
      </c>
      <c r="D19" s="4">
        <f>(('Design calculator'!F$6*'Design calculator'!F$32)+('Design calculator'!F$7*'Design calculator'!F$33)+('Design calculator'!F$9*'Design calculator'!F$34))*C19/3600</f>
        <v>0.82686853333333332</v>
      </c>
      <c r="E19" s="1">
        <f>4.5*3600</f>
        <v>16200</v>
      </c>
      <c r="F19" s="3">
        <f t="shared" si="0"/>
        <v>13395.27024</v>
      </c>
      <c r="G19" s="2">
        <f t="shared" si="1"/>
        <v>13.39527024</v>
      </c>
      <c r="H19" s="8">
        <f>'Design calculator'!H$50*E19</f>
        <v>0.28055207794720249</v>
      </c>
      <c r="I19" s="4">
        <f t="shared" si="2"/>
        <v>13.114718162052798</v>
      </c>
      <c r="M19" s="4"/>
    </row>
    <row r="20" spans="1:13" hidden="1" x14ac:dyDescent="0.25">
      <c r="A20">
        <v>360</v>
      </c>
      <c r="B20" s="1" t="s">
        <v>158</v>
      </c>
      <c r="C20" s="1">
        <f>'Input-Rainfall Data'!D27</f>
        <v>5.84</v>
      </c>
      <c r="D20" s="4">
        <f>(('Design calculator'!F$6*'Design calculator'!F$32)+('Design calculator'!F$7*'Design calculator'!F$33)+('Design calculator'!F$9*'Design calculator'!F$34))*C20/3600</f>
        <v>0.68592503333333332</v>
      </c>
      <c r="E20" s="1">
        <f>6*3600</f>
        <v>21600</v>
      </c>
      <c r="F20" s="3">
        <f t="shared" si="0"/>
        <v>14815.98072</v>
      </c>
      <c r="G20" s="2">
        <f t="shared" si="1"/>
        <v>14.815980719999999</v>
      </c>
      <c r="H20" s="8">
        <f>'Design calculator'!H$50*E20</f>
        <v>0.37406943726293668</v>
      </c>
      <c r="I20" s="4">
        <f t="shared" si="2"/>
        <v>14.441911282737061</v>
      </c>
      <c r="M20" s="4"/>
    </row>
    <row r="21" spans="1:13" hidden="1" x14ac:dyDescent="0.25">
      <c r="A21">
        <v>540</v>
      </c>
      <c r="B21" s="1" t="s">
        <v>159</v>
      </c>
      <c r="C21" s="1">
        <f>'Input-Rainfall Data'!D28</f>
        <v>4.49</v>
      </c>
      <c r="D21" s="4">
        <f>(('Design calculator'!F$6*'Design calculator'!F$32)+('Design calculator'!F$7*'Design calculator'!F$33)+('Design calculator'!F$9*'Design calculator'!F$34))*C21/3600</f>
        <v>0.52736359583333337</v>
      </c>
      <c r="E21" s="1">
        <f>9*3600</f>
        <v>32400</v>
      </c>
      <c r="F21" s="3">
        <f t="shared" si="0"/>
        <v>17086.580505000002</v>
      </c>
      <c r="G21" s="2">
        <f t="shared" si="1"/>
        <v>17.086580505000001</v>
      </c>
      <c r="H21" s="8">
        <f>'Design calculator'!H$50*E21</f>
        <v>0.56110415589440499</v>
      </c>
      <c r="I21" s="4">
        <f t="shared" si="2"/>
        <v>16.525476349105595</v>
      </c>
      <c r="M21" s="4"/>
    </row>
    <row r="22" spans="1:13" hidden="1" x14ac:dyDescent="0.25">
      <c r="A22">
        <v>720</v>
      </c>
      <c r="B22" s="1" t="s">
        <v>160</v>
      </c>
      <c r="C22" s="1">
        <f>'Input-Rainfall Data'!D29</f>
        <v>3.72</v>
      </c>
      <c r="D22" s="4">
        <f>(('Design calculator'!F$6*'Design calculator'!F$32)+('Design calculator'!F$7*'Design calculator'!F$33)+('Design calculator'!F$9*'Design calculator'!F$34))*C22/3600</f>
        <v>0.43692485000000009</v>
      </c>
      <c r="E22" s="1">
        <f>12*3600</f>
        <v>43200</v>
      </c>
      <c r="F22" s="3">
        <f t="shared" si="0"/>
        <v>18875.153520000003</v>
      </c>
      <c r="G22" s="2">
        <f t="shared" si="1"/>
        <v>18.875153520000005</v>
      </c>
      <c r="H22" s="8">
        <f>'Design calculator'!H$50*E22</f>
        <v>0.74813887452587335</v>
      </c>
      <c r="I22" s="4">
        <f t="shared" si="2"/>
        <v>18.12701464547413</v>
      </c>
      <c r="M22" s="4"/>
    </row>
    <row r="23" spans="1:13" hidden="1" x14ac:dyDescent="0.25">
      <c r="A23">
        <v>1080</v>
      </c>
      <c r="B23" s="1" t="s">
        <v>161</v>
      </c>
      <c r="C23" s="1">
        <f>'Input-Rainfall Data'!D30</f>
        <v>2.85</v>
      </c>
      <c r="D23" s="4">
        <f>(('Design calculator'!F$6*'Design calculator'!F$32)+('Design calculator'!F$7*'Design calculator'!F$33)+('Design calculator'!F$9*'Design calculator'!F$34))*C23/3600</f>
        <v>0.33474081250000004</v>
      </c>
      <c r="E23" s="1">
        <f>18*3600</f>
        <v>64800</v>
      </c>
      <c r="F23" s="3">
        <f t="shared" si="0"/>
        <v>21691.204650000003</v>
      </c>
      <c r="G23" s="2">
        <f t="shared" si="1"/>
        <v>21.691204650000003</v>
      </c>
      <c r="H23" s="8">
        <f>'Design calculator'!H$50*E23</f>
        <v>1.12220831178881</v>
      </c>
      <c r="I23" s="4">
        <f t="shared" si="2"/>
        <v>20.568996338211193</v>
      </c>
      <c r="M23" s="4"/>
    </row>
    <row r="24" spans="1:13" hidden="1" x14ac:dyDescent="0.25">
      <c r="A24">
        <v>1440</v>
      </c>
      <c r="B24" s="1" t="s">
        <v>162</v>
      </c>
      <c r="C24" s="1">
        <f>'Input-Rainfall Data'!D31</f>
        <v>2.35</v>
      </c>
      <c r="D24" s="4">
        <f>(('Design calculator'!F$6*'Design calculator'!F$32)+('Design calculator'!F$7*'Design calculator'!F$33)+('Design calculator'!F$9*'Design calculator'!F$34))*C24/3600</f>
        <v>0.2760143541666667</v>
      </c>
      <c r="E24" s="1">
        <f>24*3600</f>
        <v>86400</v>
      </c>
      <c r="F24" s="3">
        <f t="shared" si="0"/>
        <v>23847.640200000002</v>
      </c>
      <c r="G24" s="2">
        <f t="shared" si="1"/>
        <v>23.847640200000001</v>
      </c>
      <c r="H24" s="8">
        <f>'Design calculator'!H$50*E24</f>
        <v>1.4962777490517467</v>
      </c>
      <c r="I24" s="4">
        <f t="shared" si="2"/>
        <v>22.351362450948255</v>
      </c>
      <c r="M24" s="4"/>
    </row>
    <row r="25" spans="1:13" hidden="1" x14ac:dyDescent="0.25">
      <c r="A25">
        <v>1800</v>
      </c>
      <c r="B25" s="1" t="s">
        <v>163</v>
      </c>
      <c r="C25" s="1">
        <f>'Input-Rainfall Data'!D32</f>
        <v>2.0299999999999998</v>
      </c>
      <c r="D25" s="4">
        <f>(('Design calculator'!F$6*'Design calculator'!F$32)+('Design calculator'!F$7*'Design calculator'!F$33)+('Design calculator'!F$9*'Design calculator'!F$34))*C25/3600</f>
        <v>0.23842942083333332</v>
      </c>
      <c r="E25" s="1">
        <f>30*3600</f>
        <v>108000</v>
      </c>
      <c r="F25" s="3">
        <f t="shared" si="0"/>
        <v>25750.37745</v>
      </c>
      <c r="G25" s="2">
        <f t="shared" si="1"/>
        <v>25.750377449999998</v>
      </c>
      <c r="H25" s="8">
        <f>'Design calculator'!H$50*E25</f>
        <v>1.8703471863146834</v>
      </c>
      <c r="I25" s="4">
        <f t="shared" si="2"/>
        <v>23.880030263685313</v>
      </c>
      <c r="M25" s="4"/>
    </row>
    <row r="26" spans="1:13" hidden="1" x14ac:dyDescent="0.25">
      <c r="A26">
        <v>2160</v>
      </c>
      <c r="B26" s="1" t="s">
        <v>164</v>
      </c>
      <c r="C26" s="1">
        <f>'Input-Rainfall Data'!D33</f>
        <v>1.79</v>
      </c>
      <c r="D26" s="4">
        <f>(('Design calculator'!F$6*'Design calculator'!F$32)+('Design calculator'!F$7*'Design calculator'!F$33)+('Design calculator'!F$9*'Design calculator'!F$34))*C26/3600</f>
        <v>0.21024072083333337</v>
      </c>
      <c r="E26" s="1">
        <f>36*3600</f>
        <v>129600</v>
      </c>
      <c r="F26" s="3">
        <f t="shared" si="0"/>
        <v>27247.197420000004</v>
      </c>
      <c r="G26" s="2">
        <f t="shared" si="1"/>
        <v>27.247197420000003</v>
      </c>
      <c r="H26" s="8">
        <f>'Design calculator'!H$50*E26</f>
        <v>2.24441662357762</v>
      </c>
      <c r="I26" s="4">
        <f t="shared" si="2"/>
        <v>25.002780796422382</v>
      </c>
      <c r="M26" s="4"/>
    </row>
    <row r="27" spans="1:13" hidden="1" x14ac:dyDescent="0.25">
      <c r="A27">
        <v>2880</v>
      </c>
      <c r="B27" s="1" t="s">
        <v>165</v>
      </c>
      <c r="C27" s="1">
        <f>'Input-Rainfall Data'!D34</f>
        <v>1.47</v>
      </c>
      <c r="D27" s="4">
        <f>(('Design calculator'!F$6*'Design calculator'!F$32)+('Design calculator'!F$7*'Design calculator'!F$33)+('Design calculator'!F$9*'Design calculator'!F$34))*C27/3600</f>
        <v>0.17265578749999999</v>
      </c>
      <c r="E27" s="1">
        <f>48*3600</f>
        <v>172800</v>
      </c>
      <c r="F27" s="3">
        <f t="shared" si="0"/>
        <v>29834.92008</v>
      </c>
      <c r="G27" s="2">
        <f t="shared" si="1"/>
        <v>29.83492008</v>
      </c>
      <c r="H27" s="8">
        <f>'Design calculator'!H$50*E27</f>
        <v>2.9925554981034934</v>
      </c>
      <c r="I27" s="4">
        <f t="shared" si="2"/>
        <v>26.842364581896508</v>
      </c>
      <c r="M27" s="4"/>
    </row>
    <row r="28" spans="1:13" hidden="1" x14ac:dyDescent="0.25">
      <c r="A28">
        <v>4320</v>
      </c>
      <c r="B28" s="1" t="s">
        <v>166</v>
      </c>
      <c r="C28" s="1">
        <f>'Input-Rainfall Data'!D35</f>
        <v>1.1200000000000001</v>
      </c>
      <c r="D28" s="4">
        <f>(('Design calculator'!F$6*'Design calculator'!F$32)+('Design calculator'!F$7*'Design calculator'!F$33)+('Design calculator'!F$9*'Design calculator'!F$34))*C28/3600</f>
        <v>0.13154726666666669</v>
      </c>
      <c r="E28" s="1">
        <f>72*3600</f>
        <v>259200</v>
      </c>
      <c r="F28" s="3">
        <f t="shared" si="0"/>
        <v>34097.051520000008</v>
      </c>
      <c r="G28" s="2">
        <f t="shared" si="1"/>
        <v>34.097051520000008</v>
      </c>
      <c r="H28" s="8">
        <f>'Design calculator'!H$50*E28</f>
        <v>4.4888332471552399</v>
      </c>
      <c r="I28" s="4">
        <f t="shared" si="2"/>
        <v>29.608218272844766</v>
      </c>
      <c r="M28" s="4"/>
    </row>
    <row r="29" spans="1:13" hidden="1" x14ac:dyDescent="0.25">
      <c r="A29">
        <v>5760</v>
      </c>
      <c r="B29" s="1" t="s">
        <v>167</v>
      </c>
      <c r="C29" s="1">
        <f>'Input-Rainfall Data'!D36</f>
        <v>0.92800000000000005</v>
      </c>
      <c r="D29" s="4">
        <f>(('Design calculator'!F$6*'Design calculator'!F$32)+('Design calculator'!F$7*'Design calculator'!F$33)+('Design calculator'!F$9*'Design calculator'!F$34))*C29/3600</f>
        <v>0.10899630666666668</v>
      </c>
      <c r="E29" s="1">
        <f>96*3600</f>
        <v>345600</v>
      </c>
      <c r="F29" s="3">
        <f t="shared" si="0"/>
        <v>37669.123584000008</v>
      </c>
      <c r="G29" s="2">
        <f t="shared" si="1"/>
        <v>37.669123584000005</v>
      </c>
      <c r="H29" s="8">
        <f>'Design calculator'!H$50*E29</f>
        <v>5.9851109962069868</v>
      </c>
      <c r="I29" s="4">
        <f t="shared" si="2"/>
        <v>31.684012587793017</v>
      </c>
      <c r="M29" s="4"/>
    </row>
    <row r="30" spans="1:13" hidden="1" x14ac:dyDescent="0.25">
      <c r="A30">
        <v>7200</v>
      </c>
      <c r="B30" s="1" t="s">
        <v>168</v>
      </c>
      <c r="C30" s="1">
        <f>'Input-Rainfall Data'!D37</f>
        <v>0.80500000000000005</v>
      </c>
      <c r="D30" s="4">
        <f>(('Design calculator'!F$6*'Design calculator'!F$32)+('Design calculator'!F$7*'Design calculator'!F$33)+('Design calculator'!F$9*'Design calculator'!F$34))*C30/3600</f>
        <v>9.4549597916666686E-2</v>
      </c>
      <c r="E30" s="1">
        <f>120*3600</f>
        <v>432000</v>
      </c>
      <c r="F30" s="3">
        <f t="shared" si="0"/>
        <v>40845.426300000006</v>
      </c>
      <c r="G30" s="2">
        <f t="shared" si="1"/>
        <v>40.845426300000007</v>
      </c>
      <c r="H30" s="8">
        <f>'Design calculator'!H$50*E30</f>
        <v>7.4813887452587338</v>
      </c>
      <c r="I30" s="4">
        <f t="shared" si="2"/>
        <v>33.364037554741273</v>
      </c>
      <c r="M30" s="4"/>
    </row>
    <row r="31" spans="1:13" hidden="1" x14ac:dyDescent="0.25">
      <c r="A31">
        <v>8640</v>
      </c>
      <c r="B31" s="1" t="s">
        <v>169</v>
      </c>
      <c r="C31" s="1">
        <f>'Input-Rainfall Data'!D38</f>
        <v>0.72099999999999997</v>
      </c>
      <c r="D31" s="4">
        <f>(('Design calculator'!F$6*'Design calculator'!F$32)+('Design calculator'!F$7*'Design calculator'!F$33)+('Design calculator'!F$9*'Design calculator'!F$34))*C31/3600</f>
        <v>8.4683552916666668E-2</v>
      </c>
      <c r="E31" s="1">
        <f>144*3600</f>
        <v>518400</v>
      </c>
      <c r="F31" s="3">
        <f t="shared" si="0"/>
        <v>43899.953831999999</v>
      </c>
      <c r="G31" s="2">
        <f t="shared" si="1"/>
        <v>43.899953832000001</v>
      </c>
      <c r="H31" s="8">
        <f>'Design calculator'!H$50*E31</f>
        <v>8.9776664943104798</v>
      </c>
      <c r="I31" s="4">
        <f t="shared" si="2"/>
        <v>34.922287337689525</v>
      </c>
      <c r="M31" s="4"/>
    </row>
    <row r="32" spans="1:13" hidden="1" x14ac:dyDescent="0.25">
      <c r="A32">
        <v>10080</v>
      </c>
      <c r="B32" s="1" t="s">
        <v>170</v>
      </c>
      <c r="C32" s="1">
        <f>'Input-Rainfall Data'!D39</f>
        <v>0.65900000000000003</v>
      </c>
      <c r="D32" s="4">
        <f>(('Design calculator'!F$6*'Design calculator'!F$32)+('Design calculator'!F$7*'Design calculator'!F$33)+('Design calculator'!F$9*'Design calculator'!F$34))*C32/3600</f>
        <v>7.7401472083333339E-2</v>
      </c>
      <c r="E32" s="1">
        <f>168*3600</f>
        <v>604800</v>
      </c>
      <c r="F32" s="3">
        <f t="shared" si="0"/>
        <v>46812.410316000001</v>
      </c>
      <c r="G32" s="2">
        <f t="shared" si="1"/>
        <v>46.812410316000005</v>
      </c>
      <c r="H32" s="8">
        <f>'Design calculator'!H$50*E32</f>
        <v>10.473944243362228</v>
      </c>
      <c r="I32" s="4">
        <f t="shared" si="2"/>
        <v>36.338466072637779</v>
      </c>
      <c r="M32" s="4"/>
    </row>
    <row r="33" spans="1:13" hidden="1" x14ac:dyDescent="0.25">
      <c r="H33" s="5" t="s">
        <v>237</v>
      </c>
      <c r="I33" s="9">
        <f>MAX(I4:I32)</f>
        <v>36.338466072637779</v>
      </c>
      <c r="J33" t="s">
        <v>238</v>
      </c>
      <c r="M33" s="1"/>
    </row>
    <row r="34" spans="1:13" hidden="1" x14ac:dyDescent="0.25">
      <c r="H34" s="5" t="s">
        <v>239</v>
      </c>
      <c r="I34" s="5" t="str">
        <f>INDEX(B4:B32, MATCH(I33, I4:I32, 0))</f>
        <v>168 hour</v>
      </c>
      <c r="M34" s="1"/>
    </row>
    <row r="35" spans="1:13" hidden="1" x14ac:dyDescent="0.25">
      <c r="H35" s="5" t="s">
        <v>240</v>
      </c>
      <c r="I35" s="5">
        <f>INDEX(C4:C32, MATCH(I33, I4:I32, 0))</f>
        <v>0.65900000000000003</v>
      </c>
      <c r="M35" s="1"/>
    </row>
    <row r="36" spans="1:13" hidden="1" x14ac:dyDescent="0.25">
      <c r="H36" s="5" t="s">
        <v>241</v>
      </c>
      <c r="I36" s="9">
        <f>INDEX(D4:D32, MATCH(I33, I4:I32, 0))</f>
        <v>7.7401472083333339E-2</v>
      </c>
      <c r="J36" t="s">
        <v>242</v>
      </c>
      <c r="M36" s="1"/>
    </row>
    <row r="37" spans="1:13" hidden="1" x14ac:dyDescent="0.25">
      <c r="H37" s="5" t="str">
        <f>'Design calculator'!F$37 &amp; " Minutes Duration="</f>
        <v>60 Minutes Duration=</v>
      </c>
      <c r="I37" s="9">
        <f>_xlfn.XLOOKUP('Design calculator'!F$37,A$4:A$32,I$4:I$32)</f>
        <v>7.8445854437895113</v>
      </c>
      <c r="J37" t="s">
        <v>238</v>
      </c>
      <c r="M37" s="1"/>
    </row>
    <row r="38" spans="1:13" x14ac:dyDescent="0.25">
      <c r="M38" s="1"/>
    </row>
    <row r="39" spans="1:13" ht="14.45" customHeight="1" x14ac:dyDescent="0.25">
      <c r="B39" s="435" t="s">
        <v>129</v>
      </c>
      <c r="C39" s="435"/>
      <c r="D39" s="435"/>
      <c r="E39" s="435"/>
      <c r="F39" s="435"/>
      <c r="G39" s="435"/>
      <c r="H39" s="435"/>
      <c r="I39" s="435"/>
    </row>
    <row r="40" spans="1:13" ht="30" x14ac:dyDescent="0.25">
      <c r="B40" s="10" t="s">
        <v>141</v>
      </c>
      <c r="C40" s="11" t="s">
        <v>243</v>
      </c>
      <c r="D40" s="10" t="s">
        <v>61</v>
      </c>
      <c r="E40" s="10" t="s">
        <v>233</v>
      </c>
      <c r="F40" s="10" t="s">
        <v>234</v>
      </c>
      <c r="G40" s="10" t="s">
        <v>63</v>
      </c>
      <c r="H40" s="12" t="s">
        <v>235</v>
      </c>
      <c r="I40" s="10" t="s">
        <v>236</v>
      </c>
      <c r="L40" s="15"/>
      <c r="M40" s="15"/>
    </row>
    <row r="41" spans="1:13" x14ac:dyDescent="0.25">
      <c r="A41">
        <v>1</v>
      </c>
      <c r="B41" s="1" t="s">
        <v>142</v>
      </c>
      <c r="C41" s="1">
        <f>'Input-Rainfall Data'!G11</f>
        <v>200</v>
      </c>
      <c r="D41" s="4">
        <f>(('Design calculator'!F$6*'Design calculator'!F$32)+('Design calculator'!F$7*'Design calculator'!F$33)+('Design calculator'!F$9*'Design calculator'!F$34))*C41/3600</f>
        <v>23.490583333333333</v>
      </c>
      <c r="E41" s="1">
        <f>1*60</f>
        <v>60</v>
      </c>
      <c r="F41" s="3">
        <f t="shared" ref="F41:F69" si="3">D41*E41</f>
        <v>1409.4349999999999</v>
      </c>
      <c r="G41" s="2">
        <f t="shared" ref="G41:G69" si="4">F41/1000</f>
        <v>1.409435</v>
      </c>
      <c r="H41" s="8">
        <f>'Design calculator'!H$50*E41</f>
        <v>1.0390817701748242E-3</v>
      </c>
      <c r="I41" s="4">
        <f>G41-H41</f>
        <v>1.4083959182298251</v>
      </c>
      <c r="L41" s="14"/>
      <c r="M41" s="4"/>
    </row>
    <row r="42" spans="1:13" x14ac:dyDescent="0.25">
      <c r="A42">
        <v>2</v>
      </c>
      <c r="B42" s="1" t="s">
        <v>143</v>
      </c>
      <c r="C42" s="1">
        <f>'Input-Rainfall Data'!G12</f>
        <v>169</v>
      </c>
      <c r="D42" s="4">
        <f>(('Design calculator'!F$6*'Design calculator'!F$32)+('Design calculator'!F$7*'Design calculator'!F$33)+('Design calculator'!F$9*'Design calculator'!F$34))*C42/3600</f>
        <v>19.849542916666667</v>
      </c>
      <c r="E42" s="1">
        <f>2*60</f>
        <v>120</v>
      </c>
      <c r="F42" s="3">
        <f t="shared" si="3"/>
        <v>2381.94515</v>
      </c>
      <c r="G42" s="2">
        <f t="shared" si="4"/>
        <v>2.38194515</v>
      </c>
      <c r="H42" s="8">
        <f>'Design calculator'!H$50*E42</f>
        <v>2.0781635403496483E-3</v>
      </c>
      <c r="I42" s="4">
        <f t="shared" ref="I42:I69" si="5">G42-H42</f>
        <v>2.3798669864596502</v>
      </c>
      <c r="L42" s="14"/>
      <c r="M42" s="4"/>
    </row>
    <row r="43" spans="1:13" x14ac:dyDescent="0.25">
      <c r="A43">
        <v>3</v>
      </c>
      <c r="B43" s="1" t="s">
        <v>144</v>
      </c>
      <c r="C43" s="1">
        <f>'Input-Rainfall Data'!G13</f>
        <v>152</v>
      </c>
      <c r="D43" s="4">
        <f>(('Design calculator'!F$6*'Design calculator'!F$32)+('Design calculator'!F$7*'Design calculator'!F$33)+('Design calculator'!F$9*'Design calculator'!F$34))*C43/3600</f>
        <v>17.852843333333336</v>
      </c>
      <c r="E43" s="1">
        <f>3*60</f>
        <v>180</v>
      </c>
      <c r="F43" s="3">
        <f t="shared" si="3"/>
        <v>3213.5118000000007</v>
      </c>
      <c r="G43" s="2">
        <f t="shared" si="4"/>
        <v>3.2135118000000005</v>
      </c>
      <c r="H43" s="8">
        <f>'Design calculator'!H$50*E43</f>
        <v>3.1172453105244723E-3</v>
      </c>
      <c r="I43" s="4">
        <f t="shared" si="5"/>
        <v>3.2103945546894761</v>
      </c>
      <c r="L43" s="14"/>
      <c r="M43" s="4"/>
    </row>
    <row r="44" spans="1:13" x14ac:dyDescent="0.25">
      <c r="A44">
        <v>4</v>
      </c>
      <c r="B44" s="1" t="s">
        <v>145</v>
      </c>
      <c r="C44" s="1">
        <f>'Input-Rainfall Data'!G14</f>
        <v>140</v>
      </c>
      <c r="D44" s="4">
        <f>(('Design calculator'!F$6*'Design calculator'!F$32)+('Design calculator'!F$7*'Design calculator'!F$33)+('Design calculator'!F$9*'Design calculator'!F$34))*C44/3600</f>
        <v>16.443408333333334</v>
      </c>
      <c r="E44" s="1">
        <f>4*60</f>
        <v>240</v>
      </c>
      <c r="F44" s="3">
        <f t="shared" si="3"/>
        <v>3946.4180000000001</v>
      </c>
      <c r="G44" s="2">
        <f t="shared" si="4"/>
        <v>3.946418</v>
      </c>
      <c r="H44" s="8">
        <f>'Design calculator'!H$50*E44</f>
        <v>4.1563270806992967E-3</v>
      </c>
      <c r="I44" s="4">
        <f t="shared" si="5"/>
        <v>3.9422616729193005</v>
      </c>
      <c r="L44" s="14"/>
      <c r="M44" s="4"/>
    </row>
    <row r="45" spans="1:13" x14ac:dyDescent="0.25">
      <c r="A45">
        <v>5</v>
      </c>
      <c r="B45" s="1" t="s">
        <v>146</v>
      </c>
      <c r="C45" s="1">
        <f>'Input-Rainfall Data'!G15</f>
        <v>129</v>
      </c>
      <c r="D45" s="4">
        <f>(('Design calculator'!F$6*'Design calculator'!F$32)+('Design calculator'!F$7*'Design calculator'!F$33)+('Design calculator'!F$9*'Design calculator'!F$34))*C45/3600</f>
        <v>15.15142625</v>
      </c>
      <c r="E45" s="1">
        <f>5*60</f>
        <v>300</v>
      </c>
      <c r="F45" s="3">
        <f t="shared" si="3"/>
        <v>4545.4278750000003</v>
      </c>
      <c r="G45" s="2">
        <f t="shared" si="4"/>
        <v>4.5454278750000006</v>
      </c>
      <c r="H45" s="8">
        <f>'Design calculator'!H$50*E45</f>
        <v>5.1954088508741206E-3</v>
      </c>
      <c r="I45" s="4">
        <f t="shared" si="5"/>
        <v>4.540232466149126</v>
      </c>
      <c r="L45" s="14"/>
      <c r="M45" s="4"/>
    </row>
    <row r="46" spans="1:13" x14ac:dyDescent="0.25">
      <c r="A46">
        <v>10</v>
      </c>
      <c r="B46" s="1" t="s">
        <v>147</v>
      </c>
      <c r="C46" s="1">
        <f>'Input-Rainfall Data'!G16</f>
        <v>95.5</v>
      </c>
      <c r="D46" s="4">
        <f>(('Design calculator'!F$6*'Design calculator'!F$32)+('Design calculator'!F$7*'Design calculator'!F$33)+('Design calculator'!F$9*'Design calculator'!F$34))*C46/3600</f>
        <v>11.216753541666668</v>
      </c>
      <c r="E46" s="1">
        <f>10*60</f>
        <v>600</v>
      </c>
      <c r="F46" s="3">
        <f t="shared" si="3"/>
        <v>6730.0521250000011</v>
      </c>
      <c r="G46" s="2">
        <f t="shared" si="4"/>
        <v>6.7300521250000012</v>
      </c>
      <c r="H46" s="8">
        <f>'Design calculator'!H$50*E46</f>
        <v>1.0390817701748241E-2</v>
      </c>
      <c r="I46" s="4">
        <f t="shared" si="5"/>
        <v>6.719661307298253</v>
      </c>
      <c r="L46" s="14"/>
      <c r="M46" s="4"/>
    </row>
    <row r="47" spans="1:13" x14ac:dyDescent="0.25">
      <c r="A47">
        <v>15</v>
      </c>
      <c r="B47" s="1" t="s">
        <v>148</v>
      </c>
      <c r="C47" s="1">
        <f>'Input-Rainfall Data'!G17</f>
        <v>76.900000000000006</v>
      </c>
      <c r="D47" s="4">
        <f>(('Design calculator'!F$6*'Design calculator'!F$32)+('Design calculator'!F$7*'Design calculator'!F$33)+('Design calculator'!F$9*'Design calculator'!F$34))*C47/3600</f>
        <v>9.0321292916666671</v>
      </c>
      <c r="E47" s="1">
        <f>15*60</f>
        <v>900</v>
      </c>
      <c r="F47" s="3">
        <f t="shared" si="3"/>
        <v>8128.9163625000001</v>
      </c>
      <c r="G47" s="2">
        <f t="shared" si="4"/>
        <v>8.1289163625</v>
      </c>
      <c r="H47" s="8">
        <f>'Design calculator'!H$50*E47</f>
        <v>1.5586226552622363E-2</v>
      </c>
      <c r="I47" s="4">
        <f t="shared" si="5"/>
        <v>8.1133301359473773</v>
      </c>
      <c r="L47" s="14"/>
      <c r="M47" s="4"/>
    </row>
    <row r="48" spans="1:13" x14ac:dyDescent="0.25">
      <c r="A48">
        <v>20</v>
      </c>
      <c r="B48" s="1" t="s">
        <v>149</v>
      </c>
      <c r="C48" s="1">
        <f>'Input-Rainfall Data'!G18</f>
        <v>65</v>
      </c>
      <c r="D48" s="4">
        <f>(('Design calculator'!F$6*'Design calculator'!F$32)+('Design calculator'!F$7*'Design calculator'!F$33)+('Design calculator'!F$9*'Design calculator'!F$34))*C48/3600</f>
        <v>7.6344395833333341</v>
      </c>
      <c r="E48" s="1">
        <f>20*60</f>
        <v>1200</v>
      </c>
      <c r="F48" s="3">
        <f t="shared" si="3"/>
        <v>9161.3275000000012</v>
      </c>
      <c r="G48" s="2">
        <f t="shared" si="4"/>
        <v>9.1613275000000005</v>
      </c>
      <c r="H48" s="8">
        <f>'Design calculator'!H$50*E48</f>
        <v>2.0781635403496482E-2</v>
      </c>
      <c r="I48" s="4">
        <f t="shared" si="5"/>
        <v>9.1405458645965041</v>
      </c>
      <c r="L48" s="14"/>
      <c r="M48" s="4"/>
    </row>
    <row r="49" spans="1:13" x14ac:dyDescent="0.25">
      <c r="A49">
        <v>25</v>
      </c>
      <c r="B49" s="1" t="s">
        <v>150</v>
      </c>
      <c r="C49" s="1">
        <f>'Input-Rainfall Data'!G19</f>
        <v>56.8</v>
      </c>
      <c r="D49" s="4">
        <f>(('Design calculator'!F$6*'Design calculator'!F$32)+('Design calculator'!F$7*'Design calculator'!F$33)+('Design calculator'!F$9*'Design calculator'!F$34))*C49/3600</f>
        <v>6.6713256666666672</v>
      </c>
      <c r="E49" s="1">
        <f>25*60</f>
        <v>1500</v>
      </c>
      <c r="F49" s="3">
        <f t="shared" si="3"/>
        <v>10006.988500000001</v>
      </c>
      <c r="G49" s="2">
        <f t="shared" si="4"/>
        <v>10.006988500000002</v>
      </c>
      <c r="H49" s="8">
        <f>'Design calculator'!H$50*E49</f>
        <v>2.5977044254370602E-2</v>
      </c>
      <c r="I49" s="4">
        <f t="shared" si="5"/>
        <v>9.981011455745632</v>
      </c>
      <c r="L49" s="14"/>
      <c r="M49" s="4"/>
    </row>
    <row r="50" spans="1:13" x14ac:dyDescent="0.25">
      <c r="A50">
        <v>30</v>
      </c>
      <c r="B50" s="1" t="s">
        <v>151</v>
      </c>
      <c r="C50" s="1">
        <f>'Input-Rainfall Data'!G20</f>
        <v>50.7</v>
      </c>
      <c r="D50" s="4">
        <f>(('Design calculator'!F$6*'Design calculator'!F$32)+('Design calculator'!F$7*'Design calculator'!F$33)+('Design calculator'!F$9*'Design calculator'!F$34))*C50/3600</f>
        <v>5.9548628750000008</v>
      </c>
      <c r="E50" s="1">
        <f>30*60</f>
        <v>1800</v>
      </c>
      <c r="F50" s="3">
        <f t="shared" si="3"/>
        <v>10718.753175000002</v>
      </c>
      <c r="G50" s="2">
        <f t="shared" si="4"/>
        <v>10.718753175000002</v>
      </c>
      <c r="H50" s="8">
        <f>'Design calculator'!H$50*E50</f>
        <v>3.1172453105244725E-2</v>
      </c>
      <c r="I50" s="4">
        <f t="shared" si="5"/>
        <v>10.687580721894756</v>
      </c>
      <c r="L50" s="14"/>
      <c r="M50" s="4"/>
    </row>
    <row r="51" spans="1:13" x14ac:dyDescent="0.25">
      <c r="A51">
        <v>45</v>
      </c>
      <c r="B51" s="1" t="s">
        <v>152</v>
      </c>
      <c r="C51" s="1">
        <f>'Input-Rainfall Data'!G21</f>
        <v>39.200000000000003</v>
      </c>
      <c r="D51" s="4">
        <f>(('Design calculator'!F$6*'Design calculator'!F$32)+('Design calculator'!F$7*'Design calculator'!F$33)+('Design calculator'!F$9*'Design calculator'!F$34))*C51/3600</f>
        <v>4.6041543333333337</v>
      </c>
      <c r="E51" s="1">
        <f>45*60</f>
        <v>2700</v>
      </c>
      <c r="F51" s="3">
        <f t="shared" si="3"/>
        <v>12431.216700000001</v>
      </c>
      <c r="G51" s="2">
        <f t="shared" si="4"/>
        <v>12.4312167</v>
      </c>
      <c r="H51" s="8">
        <f>'Design calculator'!H$50*E51</f>
        <v>4.6758679657867085E-2</v>
      </c>
      <c r="I51" s="4">
        <f t="shared" si="5"/>
        <v>12.384458020342134</v>
      </c>
      <c r="L51" s="14"/>
      <c r="M51" s="4"/>
    </row>
    <row r="52" spans="1:13" x14ac:dyDescent="0.25">
      <c r="A52">
        <v>60</v>
      </c>
      <c r="B52" s="1" t="s">
        <v>153</v>
      </c>
      <c r="C52" s="1">
        <f>'Input-Rainfall Data'!G22</f>
        <v>32.5</v>
      </c>
      <c r="D52" s="4">
        <f>(('Design calculator'!F$6*'Design calculator'!F$32)+('Design calculator'!F$7*'Design calculator'!F$33)+('Design calculator'!F$9*'Design calculator'!F$34))*C52/3600</f>
        <v>3.817219791666667</v>
      </c>
      <c r="E52" s="1">
        <f>60*60</f>
        <v>3600</v>
      </c>
      <c r="F52" s="3">
        <f t="shared" si="3"/>
        <v>13741.991250000001</v>
      </c>
      <c r="G52" s="2">
        <f t="shared" si="4"/>
        <v>13.741991250000002</v>
      </c>
      <c r="H52" s="8">
        <f>'Design calculator'!H$50*E52</f>
        <v>6.2344906210489451E-2</v>
      </c>
      <c r="I52" s="4">
        <f t="shared" si="5"/>
        <v>13.679646343789512</v>
      </c>
      <c r="K52" s="7"/>
      <c r="L52" s="14"/>
      <c r="M52" s="4"/>
    </row>
    <row r="53" spans="1:13" x14ac:dyDescent="0.25">
      <c r="A53">
        <v>90</v>
      </c>
      <c r="B53" s="1" t="s">
        <v>154</v>
      </c>
      <c r="C53" s="1">
        <f>'Input-Rainfall Data'!G23</f>
        <v>25.1</v>
      </c>
      <c r="D53" s="4">
        <f>(('Design calculator'!F$6*'Design calculator'!F$32)+('Design calculator'!F$7*'Design calculator'!F$33)+('Design calculator'!F$9*'Design calculator'!F$34))*C53/3600</f>
        <v>2.9480682083333334</v>
      </c>
      <c r="E53" s="1">
        <f>1.5*3600</f>
        <v>5400</v>
      </c>
      <c r="F53" s="3">
        <f t="shared" si="3"/>
        <v>15919.568325</v>
      </c>
      <c r="G53" s="2">
        <f t="shared" si="4"/>
        <v>15.919568325</v>
      </c>
      <c r="H53" s="8">
        <f>'Design calculator'!H$50*E53</f>
        <v>9.3517359315734169E-2</v>
      </c>
      <c r="I53" s="4">
        <f t="shared" si="5"/>
        <v>15.826050965684265</v>
      </c>
      <c r="L53" s="14"/>
      <c r="M53" s="4"/>
    </row>
    <row r="54" spans="1:13" x14ac:dyDescent="0.25">
      <c r="A54">
        <v>120</v>
      </c>
      <c r="B54" s="1" t="s">
        <v>155</v>
      </c>
      <c r="C54" s="1">
        <f>'Input-Rainfall Data'!G24</f>
        <v>20.9</v>
      </c>
      <c r="D54" s="4">
        <f>(('Design calculator'!F$6*'Design calculator'!F$32)+('Design calculator'!F$7*'Design calculator'!F$33)+('Design calculator'!F$9*'Design calculator'!F$34))*C54/3600</f>
        <v>2.4547659583333337</v>
      </c>
      <c r="E54" s="1">
        <f>2*3600</f>
        <v>7200</v>
      </c>
      <c r="F54" s="3">
        <f t="shared" si="3"/>
        <v>17674.314900000001</v>
      </c>
      <c r="G54" s="2">
        <f t="shared" si="4"/>
        <v>17.674314900000002</v>
      </c>
      <c r="H54" s="8">
        <f>'Design calculator'!H$50*E54</f>
        <v>0.1246898124209789</v>
      </c>
      <c r="I54" s="4">
        <f t="shared" si="5"/>
        <v>17.549625087579024</v>
      </c>
      <c r="L54" s="14"/>
      <c r="M54" s="4"/>
    </row>
    <row r="55" spans="1:13" x14ac:dyDescent="0.25">
      <c r="A55">
        <v>180</v>
      </c>
      <c r="B55" s="1" t="s">
        <v>156</v>
      </c>
      <c r="C55" s="1">
        <f>'Input-Rainfall Data'!G25</f>
        <v>16.2</v>
      </c>
      <c r="D55" s="4">
        <f>(('Design calculator'!F$6*'Design calculator'!F$32)+('Design calculator'!F$7*'Design calculator'!F$33)+('Design calculator'!F$9*'Design calculator'!F$34))*C55/3600</f>
        <v>1.9027372500000002</v>
      </c>
      <c r="E55" s="1">
        <f>3*3600</f>
        <v>10800</v>
      </c>
      <c r="F55" s="3">
        <f t="shared" si="3"/>
        <v>20549.562300000001</v>
      </c>
      <c r="G55" s="2">
        <f t="shared" si="4"/>
        <v>20.549562300000002</v>
      </c>
      <c r="H55" s="8">
        <f>'Design calculator'!H$50*E55</f>
        <v>0.18703471863146834</v>
      </c>
      <c r="I55" s="4">
        <f t="shared" si="5"/>
        <v>20.362527581368532</v>
      </c>
      <c r="L55" s="14"/>
      <c r="M55" s="4"/>
    </row>
    <row r="56" spans="1:13" x14ac:dyDescent="0.25">
      <c r="A56">
        <v>270</v>
      </c>
      <c r="B56" s="1" t="s">
        <v>157</v>
      </c>
      <c r="C56" s="1">
        <f>'Input-Rainfall Data'!G26</f>
        <v>12.6</v>
      </c>
      <c r="D56" s="4">
        <f>(('Design calculator'!F$6*'Design calculator'!F$32)+('Design calculator'!F$7*'Design calculator'!F$33)+('Design calculator'!F$9*'Design calculator'!F$34))*C56/3600</f>
        <v>1.47990675</v>
      </c>
      <c r="E56" s="1">
        <f>4.5*3600</f>
        <v>16200</v>
      </c>
      <c r="F56" s="3">
        <f t="shared" si="3"/>
        <v>23974.48935</v>
      </c>
      <c r="G56" s="2">
        <f t="shared" si="4"/>
        <v>23.974489349999999</v>
      </c>
      <c r="H56" s="8">
        <f>'Design calculator'!H$50*E56</f>
        <v>0.28055207794720249</v>
      </c>
      <c r="I56" s="4">
        <f t="shared" si="5"/>
        <v>23.693937272052796</v>
      </c>
      <c r="L56" s="14"/>
      <c r="M56" s="4"/>
    </row>
    <row r="57" spans="1:13" x14ac:dyDescent="0.25">
      <c r="A57">
        <v>360</v>
      </c>
      <c r="B57" s="1" t="s">
        <v>158</v>
      </c>
      <c r="C57" s="1">
        <f>'Input-Rainfall Data'!G27</f>
        <v>10.5</v>
      </c>
      <c r="D57" s="4">
        <f>(('Design calculator'!F$6*'Design calculator'!F$32)+('Design calculator'!F$7*'Design calculator'!F$33)+('Design calculator'!F$9*'Design calculator'!F$34))*C57/3600</f>
        <v>1.2332556250000002</v>
      </c>
      <c r="E57" s="1">
        <f>6*3600</f>
        <v>21600</v>
      </c>
      <c r="F57" s="3">
        <f t="shared" si="3"/>
        <v>26638.321500000005</v>
      </c>
      <c r="G57" s="2">
        <f t="shared" si="4"/>
        <v>26.638321500000007</v>
      </c>
      <c r="H57" s="8">
        <f>'Design calculator'!H$50*E57</f>
        <v>0.37406943726293668</v>
      </c>
      <c r="I57" s="4">
        <f t="shared" si="5"/>
        <v>26.264252062737071</v>
      </c>
      <c r="L57" s="14"/>
      <c r="M57" s="4"/>
    </row>
    <row r="58" spans="1:13" x14ac:dyDescent="0.25">
      <c r="A58">
        <v>540</v>
      </c>
      <c r="B58" s="1" t="s">
        <v>159</v>
      </c>
      <c r="C58" s="1">
        <f>'Input-Rainfall Data'!G28</f>
        <v>8.14</v>
      </c>
      <c r="D58" s="4">
        <f>(('Design calculator'!F$6*'Design calculator'!F$32)+('Design calculator'!F$7*'Design calculator'!F$33)+('Design calculator'!F$9*'Design calculator'!F$34))*C58/3600</f>
        <v>0.95606674166666683</v>
      </c>
      <c r="E58" s="1">
        <f>9*3600</f>
        <v>32400</v>
      </c>
      <c r="F58" s="3">
        <f t="shared" si="3"/>
        <v>30976.562430000005</v>
      </c>
      <c r="G58" s="2">
        <f t="shared" si="4"/>
        <v>30.976562430000005</v>
      </c>
      <c r="H58" s="8">
        <f>'Design calculator'!H$50*E58</f>
        <v>0.56110415589440499</v>
      </c>
      <c r="I58" s="4">
        <f t="shared" si="5"/>
        <v>30.4154582741056</v>
      </c>
      <c r="L58" s="14"/>
      <c r="M58" s="4"/>
    </row>
    <row r="59" spans="1:13" x14ac:dyDescent="0.25">
      <c r="A59">
        <v>720</v>
      </c>
      <c r="B59" s="1" t="s">
        <v>160</v>
      </c>
      <c r="C59" s="1">
        <f>'Input-Rainfall Data'!G29</f>
        <v>6.74</v>
      </c>
      <c r="D59" s="4">
        <f>(('Design calculator'!F$6*'Design calculator'!F$32)+('Design calculator'!F$7*'Design calculator'!F$33)+('Design calculator'!F$9*'Design calculator'!F$34))*C59/3600</f>
        <v>0.79163265833333341</v>
      </c>
      <c r="E59" s="1">
        <f>12*3600</f>
        <v>43200</v>
      </c>
      <c r="F59" s="3">
        <f t="shared" si="3"/>
        <v>34198.530840000007</v>
      </c>
      <c r="G59" s="2">
        <f t="shared" si="4"/>
        <v>34.198530840000004</v>
      </c>
      <c r="H59" s="8">
        <f>'Design calculator'!H$50*E59</f>
        <v>0.74813887452587335</v>
      </c>
      <c r="I59" s="4">
        <f t="shared" si="5"/>
        <v>33.450391965474132</v>
      </c>
      <c r="L59" s="14"/>
      <c r="M59" s="4"/>
    </row>
    <row r="60" spans="1:13" x14ac:dyDescent="0.25">
      <c r="A60">
        <v>1080</v>
      </c>
      <c r="B60" s="1" t="s">
        <v>161</v>
      </c>
      <c r="C60" s="1">
        <f>'Input-Rainfall Data'!G30</f>
        <v>5.12</v>
      </c>
      <c r="D60" s="4">
        <f>(('Design calculator'!F$6*'Design calculator'!F$32)+('Design calculator'!F$7*'Design calculator'!F$33)+('Design calculator'!F$9*'Design calculator'!F$34))*C60/3600</f>
        <v>0.60135893333333346</v>
      </c>
      <c r="E60" s="1">
        <f>18*3600</f>
        <v>64800</v>
      </c>
      <c r="F60" s="3">
        <f t="shared" si="3"/>
        <v>38968.058880000011</v>
      </c>
      <c r="G60" s="2">
        <f t="shared" si="4"/>
        <v>38.968058880000008</v>
      </c>
      <c r="H60" s="8">
        <f>'Design calculator'!H$50*E60</f>
        <v>1.12220831178881</v>
      </c>
      <c r="I60" s="4">
        <f t="shared" si="5"/>
        <v>37.845850568211198</v>
      </c>
      <c r="L60" s="14"/>
      <c r="M60" s="4"/>
    </row>
    <row r="61" spans="1:13" x14ac:dyDescent="0.25">
      <c r="A61">
        <v>1440</v>
      </c>
      <c r="B61" s="1" t="s">
        <v>162</v>
      </c>
      <c r="C61" s="1">
        <f>'Input-Rainfall Data'!G31</f>
        <v>4.17</v>
      </c>
      <c r="D61" s="4">
        <f>(('Design calculator'!F$6*'Design calculator'!F$32)+('Design calculator'!F$7*'Design calculator'!F$33)+('Design calculator'!F$9*'Design calculator'!F$34))*C61/3600</f>
        <v>0.48977866250000002</v>
      </c>
      <c r="E61" s="1">
        <f>24*3600</f>
        <v>86400</v>
      </c>
      <c r="F61" s="3">
        <f t="shared" si="3"/>
        <v>42316.87644</v>
      </c>
      <c r="G61" s="2">
        <f t="shared" si="4"/>
        <v>42.316876440000001</v>
      </c>
      <c r="H61" s="8">
        <f>'Design calculator'!H$50*E61</f>
        <v>1.4962777490517467</v>
      </c>
      <c r="I61" s="4">
        <f t="shared" si="5"/>
        <v>40.820598690948252</v>
      </c>
      <c r="L61" s="14"/>
      <c r="M61" s="4"/>
    </row>
    <row r="62" spans="1:13" x14ac:dyDescent="0.25">
      <c r="A62">
        <v>1800</v>
      </c>
      <c r="B62" s="1" t="s">
        <v>163</v>
      </c>
      <c r="C62" s="1">
        <f>'Input-Rainfall Data'!G32</f>
        <v>3.54</v>
      </c>
      <c r="D62" s="4">
        <f>(('Design calculator'!F$6*'Design calculator'!F$32)+('Design calculator'!F$7*'Design calculator'!F$33)+('Design calculator'!F$9*'Design calculator'!F$34))*C62/3600</f>
        <v>0.41578332499999998</v>
      </c>
      <c r="E62" s="1">
        <f>30*3600</f>
        <v>108000</v>
      </c>
      <c r="F62" s="3">
        <f t="shared" si="3"/>
        <v>44904.599099999999</v>
      </c>
      <c r="G62" s="2">
        <f t="shared" si="4"/>
        <v>44.904599099999999</v>
      </c>
      <c r="H62" s="8">
        <f>'Design calculator'!H$50*E62</f>
        <v>1.8703471863146834</v>
      </c>
      <c r="I62" s="4">
        <f t="shared" si="5"/>
        <v>43.034251913685317</v>
      </c>
      <c r="L62" s="14"/>
      <c r="M62" s="4"/>
    </row>
    <row r="63" spans="1:13" x14ac:dyDescent="0.25">
      <c r="A63">
        <v>2160</v>
      </c>
      <c r="B63" s="1" t="s">
        <v>164</v>
      </c>
      <c r="C63" s="1">
        <f>'Input-Rainfall Data'!G33</f>
        <v>3.09</v>
      </c>
      <c r="D63" s="4">
        <f>(('Design calculator'!F$6*'Design calculator'!F$32)+('Design calculator'!F$7*'Design calculator'!F$33)+('Design calculator'!F$9*'Design calculator'!F$34))*C63/3600</f>
        <v>0.3629295125</v>
      </c>
      <c r="E63" s="1">
        <f>36*3600</f>
        <v>129600</v>
      </c>
      <c r="F63" s="3">
        <f t="shared" si="3"/>
        <v>47035.664819999998</v>
      </c>
      <c r="G63" s="2">
        <f t="shared" si="4"/>
        <v>47.035664820000001</v>
      </c>
      <c r="H63" s="8">
        <f>'Design calculator'!H$50*E63</f>
        <v>2.24441662357762</v>
      </c>
      <c r="I63" s="4">
        <f t="shared" si="5"/>
        <v>44.79124819642238</v>
      </c>
      <c r="L63" s="14"/>
      <c r="M63" s="4"/>
    </row>
    <row r="64" spans="1:13" x14ac:dyDescent="0.25">
      <c r="A64">
        <v>2880</v>
      </c>
      <c r="B64" s="1" t="s">
        <v>165</v>
      </c>
      <c r="C64" s="1">
        <f>'Input-Rainfall Data'!G34</f>
        <v>2.48</v>
      </c>
      <c r="D64" s="4">
        <f>(('Design calculator'!F$6*'Design calculator'!F$32)+('Design calculator'!F$7*'Design calculator'!F$33)+('Design calculator'!F$9*'Design calculator'!F$34))*C64/3600</f>
        <v>0.29128323333333339</v>
      </c>
      <c r="E64" s="1">
        <f>48*3600</f>
        <v>172800</v>
      </c>
      <c r="F64" s="3">
        <f t="shared" si="3"/>
        <v>50333.742720000009</v>
      </c>
      <c r="G64" s="2">
        <f t="shared" si="4"/>
        <v>50.333742720000011</v>
      </c>
      <c r="H64" s="8">
        <f>'Design calculator'!H$50*E64</f>
        <v>2.9925554981034934</v>
      </c>
      <c r="I64" s="4">
        <f t="shared" si="5"/>
        <v>47.341187221896519</v>
      </c>
      <c r="L64" s="14"/>
      <c r="M64" s="4"/>
    </row>
    <row r="65" spans="1:13" x14ac:dyDescent="0.25">
      <c r="A65">
        <v>4320</v>
      </c>
      <c r="B65" s="1" t="s">
        <v>166</v>
      </c>
      <c r="C65" s="1">
        <f>'Input-Rainfall Data'!G35</f>
        <v>1.82</v>
      </c>
      <c r="D65" s="4">
        <f>(('Design calculator'!F$6*'Design calculator'!F$32)+('Design calculator'!F$7*'Design calculator'!F$33)+('Design calculator'!F$9*'Design calculator'!F$34))*C65/3600</f>
        <v>0.21376430833333337</v>
      </c>
      <c r="E65" s="1">
        <f>72*3600</f>
        <v>259200</v>
      </c>
      <c r="F65" s="3">
        <f t="shared" si="3"/>
        <v>55407.70872000001</v>
      </c>
      <c r="G65" s="2">
        <f t="shared" si="4"/>
        <v>55.407708720000009</v>
      </c>
      <c r="H65" s="8">
        <f>'Design calculator'!H$50*E65</f>
        <v>4.4888332471552399</v>
      </c>
      <c r="I65" s="4">
        <f t="shared" si="5"/>
        <v>50.918875472844768</v>
      </c>
      <c r="L65" s="14"/>
      <c r="M65" s="4"/>
    </row>
    <row r="66" spans="1:13" x14ac:dyDescent="0.25">
      <c r="A66">
        <v>5760</v>
      </c>
      <c r="B66" s="1" t="s">
        <v>167</v>
      </c>
      <c r="C66" s="1">
        <f>'Input-Rainfall Data'!G36</f>
        <v>1.48</v>
      </c>
      <c r="D66" s="4">
        <f>(('Design calculator'!F$6*'Design calculator'!F$32)+('Design calculator'!F$7*'Design calculator'!F$33)+('Design calculator'!F$9*'Design calculator'!F$34))*C66/3600</f>
        <v>0.17383031666666668</v>
      </c>
      <c r="E66" s="1">
        <f>96*3600</f>
        <v>345600</v>
      </c>
      <c r="F66" s="3">
        <f t="shared" si="3"/>
        <v>60075.757440000001</v>
      </c>
      <c r="G66" s="2">
        <f t="shared" si="4"/>
        <v>60.075757440000004</v>
      </c>
      <c r="H66" s="8">
        <f>'Design calculator'!H$50*E66</f>
        <v>5.9851109962069868</v>
      </c>
      <c r="I66" s="4">
        <f t="shared" si="5"/>
        <v>54.09064644379302</v>
      </c>
      <c r="L66" s="14"/>
      <c r="M66" s="4"/>
    </row>
    <row r="67" spans="1:13" x14ac:dyDescent="0.25">
      <c r="A67">
        <v>7200</v>
      </c>
      <c r="B67" s="1" t="s">
        <v>168</v>
      </c>
      <c r="C67" s="1">
        <f>'Input-Rainfall Data'!G37</f>
        <v>1.27</v>
      </c>
      <c r="D67" s="4">
        <f>(('Design calculator'!F$6*'Design calculator'!F$32)+('Design calculator'!F$7*'Design calculator'!F$33)+('Design calculator'!F$9*'Design calculator'!F$34))*C67/3600</f>
        <v>0.14916520416666668</v>
      </c>
      <c r="E67" s="1">
        <f>120*3600</f>
        <v>432000</v>
      </c>
      <c r="F67" s="3">
        <f t="shared" si="3"/>
        <v>64439.368200000004</v>
      </c>
      <c r="G67" s="2">
        <f t="shared" si="4"/>
        <v>64.439368200000004</v>
      </c>
      <c r="H67" s="8">
        <f>'Design calculator'!H$50*E67</f>
        <v>7.4813887452587338</v>
      </c>
      <c r="I67" s="4">
        <f t="shared" si="5"/>
        <v>56.95797945474127</v>
      </c>
      <c r="L67" s="14"/>
      <c r="M67" s="4"/>
    </row>
    <row r="68" spans="1:13" x14ac:dyDescent="0.25">
      <c r="A68">
        <v>8640</v>
      </c>
      <c r="B68" s="1" t="s">
        <v>169</v>
      </c>
      <c r="C68" s="1">
        <f>'Input-Rainfall Data'!G38</f>
        <v>1.1399999999999999</v>
      </c>
      <c r="D68" s="4">
        <f>(('Design calculator'!F$6*'Design calculator'!F$32)+('Design calculator'!F$7*'Design calculator'!F$33)+('Design calculator'!F$9*'Design calculator'!F$34))*C68/3600</f>
        <v>0.13389632500000001</v>
      </c>
      <c r="E68" s="1">
        <f>144*3600</f>
        <v>518400</v>
      </c>
      <c r="F68" s="3">
        <f t="shared" si="3"/>
        <v>69411.854879999999</v>
      </c>
      <c r="G68" s="2">
        <f t="shared" si="4"/>
        <v>69.411854879999993</v>
      </c>
      <c r="H68" s="8">
        <f>'Design calculator'!H$50*E68</f>
        <v>8.9776664943104798</v>
      </c>
      <c r="I68" s="4">
        <f t="shared" si="5"/>
        <v>60.434188385689509</v>
      </c>
      <c r="L68" s="14"/>
      <c r="M68" s="4"/>
    </row>
    <row r="69" spans="1:13" x14ac:dyDescent="0.25">
      <c r="A69">
        <v>10080</v>
      </c>
      <c r="B69" s="1" t="s">
        <v>170</v>
      </c>
      <c r="C69" s="1">
        <f>'Input-Rainfall Data'!G39</f>
        <v>1.06</v>
      </c>
      <c r="D69" s="4">
        <f>(('Design calculator'!F$6*'Design calculator'!F$32)+('Design calculator'!F$7*'Design calculator'!F$33)+('Design calculator'!F$9*'Design calculator'!F$34))*C69/3600</f>
        <v>0.12450009166666669</v>
      </c>
      <c r="E69" s="1">
        <f>168*3600</f>
        <v>604800</v>
      </c>
      <c r="F69" s="3">
        <f t="shared" si="3"/>
        <v>75297.655440000017</v>
      </c>
      <c r="G69" s="2">
        <f t="shared" si="4"/>
        <v>75.297655440000014</v>
      </c>
      <c r="H69" s="8">
        <f>'Design calculator'!H$50*E69</f>
        <v>10.473944243362228</v>
      </c>
      <c r="I69" s="4">
        <f t="shared" si="5"/>
        <v>64.823711196637788</v>
      </c>
      <c r="L69" s="14"/>
      <c r="M69" s="4"/>
    </row>
    <row r="70" spans="1:13" x14ac:dyDescent="0.25">
      <c r="H70" s="5" t="s">
        <v>237</v>
      </c>
      <c r="I70" s="9">
        <f>MAX(I41:I69)</f>
        <v>64.823711196637788</v>
      </c>
      <c r="J70" t="s">
        <v>238</v>
      </c>
      <c r="L70" s="1"/>
      <c r="M70" s="1"/>
    </row>
    <row r="71" spans="1:13" x14ac:dyDescent="0.25">
      <c r="H71" s="5" t="s">
        <v>239</v>
      </c>
      <c r="I71" s="5" t="str">
        <f>INDEX(B41:B69, MATCH(I70, I41:I69, 0))</f>
        <v>168 hour</v>
      </c>
      <c r="L71" s="1"/>
      <c r="M71" s="1"/>
    </row>
    <row r="72" spans="1:13" x14ac:dyDescent="0.25">
      <c r="H72" s="5" t="s">
        <v>240</v>
      </c>
      <c r="I72" s="5">
        <f>INDEX(C41:C69, MATCH(I70, I41:I69, 0))</f>
        <v>1.06</v>
      </c>
      <c r="L72" s="1"/>
      <c r="M72" s="1"/>
    </row>
    <row r="73" spans="1:13" x14ac:dyDescent="0.25">
      <c r="H73" s="5" t="s">
        <v>241</v>
      </c>
      <c r="I73" s="9">
        <f>INDEX(D41:D69, MATCH(I70, I41:I69, 0))</f>
        <v>0.12450009166666669</v>
      </c>
      <c r="J73" t="s">
        <v>242</v>
      </c>
      <c r="L73" s="1"/>
      <c r="M73" s="1"/>
    </row>
    <row r="74" spans="1:13" x14ac:dyDescent="0.25">
      <c r="H74" s="5" t="str">
        <f>'Design calculator'!F$37 &amp; " Minutes Duration="</f>
        <v>60 Minutes Duration=</v>
      </c>
      <c r="I74" s="9">
        <f>_xlfn.XLOOKUP('Design calculator'!F$37,A$41:A$69,I$41:I$69)</f>
        <v>13.679646343789512</v>
      </c>
      <c r="J74" t="s">
        <v>238</v>
      </c>
      <c r="L74" s="1"/>
      <c r="M74" s="1"/>
    </row>
    <row r="75" spans="1:13" x14ac:dyDescent="0.25">
      <c r="B75" s="1"/>
      <c r="C75" s="1"/>
      <c r="D75" s="2"/>
      <c r="E75" s="1"/>
      <c r="F75" s="3"/>
      <c r="G75" s="2"/>
      <c r="H75" s="1"/>
      <c r="I75" s="2"/>
      <c r="L75" s="1"/>
      <c r="M75" s="1"/>
    </row>
    <row r="76" spans="1:13" ht="28.9" customHeight="1" x14ac:dyDescent="0.25">
      <c r="B76" s="435" t="s">
        <v>244</v>
      </c>
      <c r="C76" s="435"/>
      <c r="D76" s="435"/>
      <c r="E76" s="435"/>
      <c r="F76" s="435"/>
      <c r="G76" s="435"/>
      <c r="H76" s="435"/>
      <c r="I76" s="435"/>
    </row>
    <row r="77" spans="1:13" x14ac:dyDescent="0.25">
      <c r="B77" s="10" t="s">
        <v>141</v>
      </c>
      <c r="C77" s="11" t="s">
        <v>245</v>
      </c>
      <c r="D77" s="10" t="s">
        <v>61</v>
      </c>
      <c r="E77" s="10" t="s">
        <v>233</v>
      </c>
      <c r="F77" s="10" t="s">
        <v>234</v>
      </c>
      <c r="G77" s="10" t="s">
        <v>63</v>
      </c>
      <c r="H77" s="10" t="s">
        <v>246</v>
      </c>
      <c r="I77" s="10" t="s">
        <v>236</v>
      </c>
      <c r="L77" s="15"/>
      <c r="M77" s="1"/>
    </row>
    <row r="78" spans="1:13" x14ac:dyDescent="0.25">
      <c r="A78">
        <v>1</v>
      </c>
      <c r="B78" s="1" t="s">
        <v>142</v>
      </c>
      <c r="C78" s="1">
        <f>'Input-Rainfall Data'!I11</f>
        <v>265</v>
      </c>
      <c r="D78" s="2">
        <f>(('Design calculator'!F$6*'Design calculator'!F$32)+('Design calculator'!F$7*'Design calculator'!F$33)+('Design calculator'!F$9*'Design calculator'!F$34))*C78/3600</f>
        <v>31.125022916666669</v>
      </c>
      <c r="E78" s="1">
        <f>1*60</f>
        <v>60</v>
      </c>
      <c r="F78" s="3">
        <f>D78*E78</f>
        <v>1867.5013750000001</v>
      </c>
      <c r="G78" s="2">
        <f>F78/1000</f>
        <v>1.867501375</v>
      </c>
      <c r="H78" s="8">
        <f>'Design calculator'!H$50*E78</f>
        <v>1.0390817701748242E-3</v>
      </c>
      <c r="I78" s="2">
        <f>G78-H78</f>
        <v>1.8664622932298252</v>
      </c>
      <c r="L78" s="4"/>
      <c r="M78" s="8"/>
    </row>
    <row r="79" spans="1:13" x14ac:dyDescent="0.25">
      <c r="A79">
        <v>2</v>
      </c>
      <c r="B79" s="1" t="s">
        <v>143</v>
      </c>
      <c r="C79" s="1">
        <f>'Input-Rainfall Data'!I12</f>
        <v>223</v>
      </c>
      <c r="D79" s="2">
        <f>(('Design calculator'!F$6*'Design calculator'!F$32)+('Design calculator'!F$7*'Design calculator'!F$33)+('Design calculator'!F$9*'Design calculator'!F$34))*C79/3600</f>
        <v>26.192000416666669</v>
      </c>
      <c r="E79" s="1">
        <f>2*60</f>
        <v>120</v>
      </c>
      <c r="F79" s="3">
        <f t="shared" ref="F79:F106" si="6">D79*E79</f>
        <v>3143.0400500000005</v>
      </c>
      <c r="G79" s="2">
        <f t="shared" ref="G79:G106" si="7">F79/1000</f>
        <v>3.1430400500000006</v>
      </c>
      <c r="H79" s="8">
        <f>'Design calculator'!H$50*E79</f>
        <v>2.0781635403496483E-3</v>
      </c>
      <c r="I79" s="2">
        <f t="shared" ref="I79:I106" si="8">G79-H79</f>
        <v>3.1409618864596509</v>
      </c>
      <c r="L79" s="4"/>
      <c r="M79" s="8"/>
    </row>
    <row r="80" spans="1:13" x14ac:dyDescent="0.25">
      <c r="A80">
        <v>3</v>
      </c>
      <c r="B80" s="1" t="s">
        <v>144</v>
      </c>
      <c r="C80" s="1">
        <f>'Input-Rainfall Data'!I13</f>
        <v>202</v>
      </c>
      <c r="D80" s="2">
        <f>(('Design calculator'!F$6*'Design calculator'!F$32)+('Design calculator'!F$7*'Design calculator'!F$33)+('Design calculator'!F$9*'Design calculator'!F$34))*C80/3600</f>
        <v>23.725489166666666</v>
      </c>
      <c r="E80" s="1">
        <f>3*60</f>
        <v>180</v>
      </c>
      <c r="F80" s="3">
        <f t="shared" si="6"/>
        <v>4270.5880500000003</v>
      </c>
      <c r="G80" s="2">
        <f t="shared" si="7"/>
        <v>4.2705880500000006</v>
      </c>
      <c r="H80" s="8">
        <f>'Design calculator'!H$50*E80</f>
        <v>3.1172453105244723E-3</v>
      </c>
      <c r="I80" s="2">
        <f t="shared" si="8"/>
        <v>4.2674708046894763</v>
      </c>
      <c r="L80" s="4"/>
      <c r="M80" s="8"/>
    </row>
    <row r="81" spans="1:13" x14ac:dyDescent="0.25">
      <c r="A81">
        <v>4</v>
      </c>
      <c r="B81" s="1" t="s">
        <v>145</v>
      </c>
      <c r="C81" s="1">
        <f>'Input-Rainfall Data'!I14</f>
        <v>186</v>
      </c>
      <c r="D81" s="2">
        <f>(('Design calculator'!F$6*'Design calculator'!F$32)+('Design calculator'!F$7*'Design calculator'!F$33)+('Design calculator'!F$9*'Design calculator'!F$34))*C81/3600</f>
        <v>21.846242499999999</v>
      </c>
      <c r="E81" s="1">
        <f>4*60</f>
        <v>240</v>
      </c>
      <c r="F81" s="3">
        <f t="shared" si="6"/>
        <v>5243.0981999999995</v>
      </c>
      <c r="G81" s="2">
        <f t="shared" si="7"/>
        <v>5.2430981999999995</v>
      </c>
      <c r="H81" s="8">
        <f>'Design calculator'!H$50*E81</f>
        <v>4.1563270806992967E-3</v>
      </c>
      <c r="I81" s="2">
        <f t="shared" si="8"/>
        <v>5.2389418729193</v>
      </c>
      <c r="L81" s="4"/>
      <c r="M81" s="8"/>
    </row>
    <row r="82" spans="1:13" x14ac:dyDescent="0.25">
      <c r="A82">
        <v>5</v>
      </c>
      <c r="B82" s="1" t="s">
        <v>146</v>
      </c>
      <c r="C82" s="1">
        <f>'Input-Rainfall Data'!I15</f>
        <v>172</v>
      </c>
      <c r="D82" s="2">
        <f>(('Design calculator'!F$6*'Design calculator'!F$32)+('Design calculator'!F$7*'Design calculator'!F$33)+('Design calculator'!F$9*'Design calculator'!F$34))*C82/3600</f>
        <v>20.201901666666668</v>
      </c>
      <c r="E82" s="1">
        <f>5*60</f>
        <v>300</v>
      </c>
      <c r="F82" s="3">
        <f t="shared" si="6"/>
        <v>6060.5705000000007</v>
      </c>
      <c r="G82" s="2">
        <f t="shared" si="7"/>
        <v>6.0605705000000007</v>
      </c>
      <c r="H82" s="8">
        <f>'Design calculator'!H$50*E82</f>
        <v>5.1954088508741206E-3</v>
      </c>
      <c r="I82" s="2">
        <f t="shared" si="8"/>
        <v>6.0553750911491262</v>
      </c>
      <c r="L82" s="4"/>
      <c r="M82" s="8"/>
    </row>
    <row r="83" spans="1:13" x14ac:dyDescent="0.25">
      <c r="A83">
        <v>10</v>
      </c>
      <c r="B83" s="1" t="s">
        <v>147</v>
      </c>
      <c r="C83" s="1">
        <f>'Input-Rainfall Data'!I16</f>
        <v>127</v>
      </c>
      <c r="D83" s="2">
        <f>(('Design calculator'!F$6*'Design calculator'!F$32)+('Design calculator'!F$7*'Design calculator'!F$33)+('Design calculator'!F$9*'Design calculator'!F$34))*C83/3600</f>
        <v>14.916520416666669</v>
      </c>
      <c r="E83" s="1">
        <f>10*60</f>
        <v>600</v>
      </c>
      <c r="F83" s="3">
        <f t="shared" si="6"/>
        <v>8949.9122500000012</v>
      </c>
      <c r="G83" s="2">
        <f t="shared" si="7"/>
        <v>8.9499122500000006</v>
      </c>
      <c r="H83" s="8">
        <f>'Design calculator'!H$50*E83</f>
        <v>1.0390817701748241E-2</v>
      </c>
      <c r="I83" s="2">
        <f t="shared" si="8"/>
        <v>8.9395214322982515</v>
      </c>
      <c r="L83" s="4"/>
      <c r="M83" s="8"/>
    </row>
    <row r="84" spans="1:13" x14ac:dyDescent="0.25">
      <c r="A84">
        <v>15</v>
      </c>
      <c r="B84" s="1" t="s">
        <v>148</v>
      </c>
      <c r="C84" s="1">
        <f>'Input-Rainfall Data'!I17</f>
        <v>102</v>
      </c>
      <c r="D84" s="2">
        <f>(('Design calculator'!F$6*'Design calculator'!F$32)+('Design calculator'!F$7*'Design calculator'!F$33)+('Design calculator'!F$9*'Design calculator'!F$34))*C84/3600</f>
        <v>11.980197500000001</v>
      </c>
      <c r="E84" s="1">
        <f>15*60</f>
        <v>900</v>
      </c>
      <c r="F84" s="3">
        <f t="shared" si="6"/>
        <v>10782.177750000001</v>
      </c>
      <c r="G84" s="2">
        <f t="shared" si="7"/>
        <v>10.782177750000001</v>
      </c>
      <c r="H84" s="8">
        <f>'Design calculator'!H$50*E84</f>
        <v>1.5586226552622363E-2</v>
      </c>
      <c r="I84" s="2">
        <f t="shared" si="8"/>
        <v>10.766591523447378</v>
      </c>
      <c r="L84" s="4"/>
      <c r="M84" s="8"/>
    </row>
    <row r="85" spans="1:13" x14ac:dyDescent="0.25">
      <c r="A85">
        <v>20</v>
      </c>
      <c r="B85" s="1" t="s">
        <v>149</v>
      </c>
      <c r="C85" s="1">
        <f>'Input-Rainfall Data'!I18</f>
        <v>85.9</v>
      </c>
      <c r="D85" s="2">
        <f>(('Design calculator'!F$6*'Design calculator'!F$32)+('Design calculator'!F$7*'Design calculator'!F$33)+('Design calculator'!F$9*'Design calculator'!F$34))*C85/3600</f>
        <v>10.089205541666669</v>
      </c>
      <c r="E85" s="1">
        <f>20*60</f>
        <v>1200</v>
      </c>
      <c r="F85" s="3">
        <f t="shared" si="6"/>
        <v>12107.046650000002</v>
      </c>
      <c r="G85" s="2">
        <f t="shared" si="7"/>
        <v>12.107046650000003</v>
      </c>
      <c r="H85" s="8">
        <f>'Design calculator'!H$50*E85</f>
        <v>2.0781635403496482E-2</v>
      </c>
      <c r="I85" s="2">
        <f t="shared" si="8"/>
        <v>12.086265014596506</v>
      </c>
      <c r="L85" s="4"/>
      <c r="M85" s="8"/>
    </row>
    <row r="86" spans="1:13" x14ac:dyDescent="0.25">
      <c r="A86">
        <v>25</v>
      </c>
      <c r="B86" s="1" t="s">
        <v>150</v>
      </c>
      <c r="C86" s="1">
        <f>'Input-Rainfall Data'!I19</f>
        <v>75</v>
      </c>
      <c r="D86" s="2">
        <f>(('Design calculator'!F$6*'Design calculator'!F$32)+('Design calculator'!F$7*'Design calculator'!F$33)+('Design calculator'!F$9*'Design calculator'!F$34))*C86/3600</f>
        <v>8.80896875</v>
      </c>
      <c r="E86" s="1">
        <f>25*60</f>
        <v>1500</v>
      </c>
      <c r="F86" s="3">
        <f t="shared" si="6"/>
        <v>13213.453125</v>
      </c>
      <c r="G86" s="2">
        <f t="shared" si="7"/>
        <v>13.213453124999999</v>
      </c>
      <c r="H86" s="8">
        <f>'Design calculator'!H$50*E86</f>
        <v>2.5977044254370602E-2</v>
      </c>
      <c r="I86" s="2">
        <f t="shared" si="8"/>
        <v>13.187476080745629</v>
      </c>
      <c r="L86" s="4"/>
      <c r="M86" s="8"/>
    </row>
    <row r="87" spans="1:13" x14ac:dyDescent="0.25">
      <c r="A87">
        <v>30</v>
      </c>
      <c r="B87" s="1" t="s">
        <v>151</v>
      </c>
      <c r="C87" s="1">
        <f>'Input-Rainfall Data'!I20</f>
        <v>67</v>
      </c>
      <c r="D87" s="2">
        <f>(('Design calculator'!F$6*'Design calculator'!F$32)+('Design calculator'!F$7*'Design calculator'!F$33)+('Design calculator'!F$9*'Design calculator'!F$34))*C87/3600</f>
        <v>7.8693454166666674</v>
      </c>
      <c r="E87" s="1">
        <f>30*60</f>
        <v>1800</v>
      </c>
      <c r="F87" s="3">
        <f t="shared" si="6"/>
        <v>14164.821750000001</v>
      </c>
      <c r="G87" s="2">
        <f t="shared" si="7"/>
        <v>14.164821750000002</v>
      </c>
      <c r="H87" s="8">
        <f>'Design calculator'!H$50*E87</f>
        <v>3.1172453105244725E-2</v>
      </c>
      <c r="I87" s="2">
        <f t="shared" si="8"/>
        <v>14.133649296894756</v>
      </c>
      <c r="L87" s="4"/>
      <c r="M87" s="8"/>
    </row>
    <row r="88" spans="1:13" x14ac:dyDescent="0.25">
      <c r="A88">
        <v>45</v>
      </c>
      <c r="B88" s="1" t="s">
        <v>152</v>
      </c>
      <c r="C88" s="1">
        <f>'Input-Rainfall Data'!I21</f>
        <v>52</v>
      </c>
      <c r="D88" s="2">
        <f>(('Design calculator'!F$6*'Design calculator'!F$32)+('Design calculator'!F$7*'Design calculator'!F$33)+('Design calculator'!F$9*'Design calculator'!F$34))*C88/3600</f>
        <v>6.1075516666666667</v>
      </c>
      <c r="E88" s="1">
        <f>45*60</f>
        <v>2700</v>
      </c>
      <c r="F88" s="3">
        <f t="shared" si="6"/>
        <v>16490.389500000001</v>
      </c>
      <c r="G88" s="2">
        <f t="shared" si="7"/>
        <v>16.490389500000003</v>
      </c>
      <c r="H88" s="8">
        <f>'Design calculator'!H$50*E88</f>
        <v>4.6758679657867085E-2</v>
      </c>
      <c r="I88" s="2">
        <f t="shared" si="8"/>
        <v>16.443630820342136</v>
      </c>
      <c r="L88" s="4"/>
      <c r="M88" s="8"/>
    </row>
    <row r="89" spans="1:13" x14ac:dyDescent="0.25">
      <c r="A89">
        <v>60</v>
      </c>
      <c r="B89" s="1" t="s">
        <v>153</v>
      </c>
      <c r="C89" s="1">
        <f>'Input-Rainfall Data'!I22</f>
        <v>43.4</v>
      </c>
      <c r="D89" s="2">
        <f>(('Design calculator'!F$6*'Design calculator'!F$32)+('Design calculator'!F$7*'Design calculator'!F$33)+('Design calculator'!F$9*'Design calculator'!F$34))*C89/3600</f>
        <v>5.0974565833333338</v>
      </c>
      <c r="E89" s="1">
        <f>60*60</f>
        <v>3600</v>
      </c>
      <c r="F89" s="3">
        <f t="shared" si="6"/>
        <v>18350.843700000001</v>
      </c>
      <c r="G89" s="2">
        <f t="shared" si="7"/>
        <v>18.350843700000002</v>
      </c>
      <c r="H89" s="8">
        <f>'Design calculator'!H$50*E89</f>
        <v>6.2344906210489451E-2</v>
      </c>
      <c r="I89" s="2">
        <f t="shared" si="8"/>
        <v>18.288498793789511</v>
      </c>
      <c r="K89" s="7"/>
      <c r="L89" s="4"/>
      <c r="M89" s="8"/>
    </row>
    <row r="90" spans="1:13" x14ac:dyDescent="0.25">
      <c r="A90">
        <v>90</v>
      </c>
      <c r="B90" s="1" t="s">
        <v>154</v>
      </c>
      <c r="C90" s="1">
        <f>'Input-Rainfall Data'!I23</f>
        <v>33.9</v>
      </c>
      <c r="D90" s="2">
        <f>(('Design calculator'!F$6*'Design calculator'!F$32)+('Design calculator'!F$7*'Design calculator'!F$33)+('Design calculator'!F$9*'Design calculator'!F$34))*C90/3600</f>
        <v>3.9816538750000001</v>
      </c>
      <c r="E90" s="1">
        <f>1.5*3600</f>
        <v>5400</v>
      </c>
      <c r="F90" s="3">
        <f t="shared" si="6"/>
        <v>21500.930925000001</v>
      </c>
      <c r="G90" s="2">
        <f t="shared" si="7"/>
        <v>21.500930925000002</v>
      </c>
      <c r="H90" s="8">
        <f>'Design calculator'!H$50*E90</f>
        <v>9.3517359315734169E-2</v>
      </c>
      <c r="I90" s="2">
        <f t="shared" si="8"/>
        <v>21.407413565684269</v>
      </c>
      <c r="L90" s="4"/>
      <c r="M90" s="8"/>
    </row>
    <row r="91" spans="1:13" x14ac:dyDescent="0.25">
      <c r="A91">
        <v>120</v>
      </c>
      <c r="B91" s="1" t="s">
        <v>155</v>
      </c>
      <c r="C91" s="1">
        <f>'Input-Rainfall Data'!I24</f>
        <v>28.5</v>
      </c>
      <c r="D91" s="2">
        <f>(('Design calculator'!F$6*'Design calculator'!F$32)+('Design calculator'!F$7*'Design calculator'!F$33)+('Design calculator'!F$9*'Design calculator'!F$34))*C91/3600</f>
        <v>3.3474081250000003</v>
      </c>
      <c r="E91" s="1">
        <f>2*3600</f>
        <v>7200</v>
      </c>
      <c r="F91" s="3">
        <f t="shared" si="6"/>
        <v>24101.338500000002</v>
      </c>
      <c r="G91" s="2">
        <f t="shared" si="7"/>
        <v>24.101338500000001</v>
      </c>
      <c r="H91" s="8">
        <f>'Design calculator'!H$50*E91</f>
        <v>0.1246898124209789</v>
      </c>
      <c r="I91" s="2">
        <f t="shared" si="8"/>
        <v>23.976648687579022</v>
      </c>
      <c r="L91" s="4"/>
      <c r="M91" s="8"/>
    </row>
    <row r="92" spans="1:13" x14ac:dyDescent="0.25">
      <c r="A92">
        <v>180</v>
      </c>
      <c r="B92" s="1" t="s">
        <v>156</v>
      </c>
      <c r="C92" s="1">
        <f>'Input-Rainfall Data'!I25</f>
        <v>22.4</v>
      </c>
      <c r="D92" s="2">
        <f>(('Design calculator'!F$6*'Design calculator'!F$32)+('Design calculator'!F$7*'Design calculator'!F$33)+('Design calculator'!F$9*'Design calculator'!F$34))*C92/3600</f>
        <v>2.6309453333333335</v>
      </c>
      <c r="E92" s="1">
        <f>3*3600</f>
        <v>10800</v>
      </c>
      <c r="F92" s="3">
        <f t="shared" si="6"/>
        <v>28414.209600000002</v>
      </c>
      <c r="G92" s="2">
        <f t="shared" si="7"/>
        <v>28.414209600000003</v>
      </c>
      <c r="H92" s="8">
        <f>'Design calculator'!H$50*E92</f>
        <v>0.18703471863146834</v>
      </c>
      <c r="I92" s="2">
        <f t="shared" si="8"/>
        <v>28.227174881368533</v>
      </c>
      <c r="L92" s="4"/>
      <c r="M92" s="8"/>
    </row>
    <row r="93" spans="1:13" x14ac:dyDescent="0.25">
      <c r="A93">
        <v>270</v>
      </c>
      <c r="B93" s="1" t="s">
        <v>157</v>
      </c>
      <c r="C93" s="1">
        <f>'Input-Rainfall Data'!I26</f>
        <v>17.7</v>
      </c>
      <c r="D93" s="2">
        <f>(('Design calculator'!F$6*'Design calculator'!F$32)+('Design calculator'!F$7*'Design calculator'!F$33)+('Design calculator'!F$9*'Design calculator'!F$34))*C93/3600</f>
        <v>2.0789166250000002</v>
      </c>
      <c r="E93" s="1">
        <f>4.5*3600</f>
        <v>16200</v>
      </c>
      <c r="F93" s="3">
        <f t="shared" si="6"/>
        <v>33678.449325000001</v>
      </c>
      <c r="G93" s="2">
        <f t="shared" si="7"/>
        <v>33.678449325000003</v>
      </c>
      <c r="H93" s="8">
        <f>'Design calculator'!H$50*E93</f>
        <v>0.28055207794720249</v>
      </c>
      <c r="I93" s="2">
        <f t="shared" si="8"/>
        <v>33.397897247052803</v>
      </c>
      <c r="L93" s="4"/>
      <c r="M93" s="8"/>
    </row>
    <row r="94" spans="1:13" x14ac:dyDescent="0.25">
      <c r="A94">
        <v>360</v>
      </c>
      <c r="B94" s="1" t="s">
        <v>158</v>
      </c>
      <c r="C94" s="1">
        <f>'Input-Rainfall Data'!I27</f>
        <v>14.9</v>
      </c>
      <c r="D94" s="2">
        <f>(('Design calculator'!F$6*'Design calculator'!F$32)+('Design calculator'!F$7*'Design calculator'!F$33)+('Design calculator'!F$9*'Design calculator'!F$34))*C94/3600</f>
        <v>1.7500484583333336</v>
      </c>
      <c r="E94" s="1">
        <f>6*3600</f>
        <v>21600</v>
      </c>
      <c r="F94" s="3">
        <f t="shared" si="6"/>
        <v>37801.046700000006</v>
      </c>
      <c r="G94" s="2">
        <f t="shared" si="7"/>
        <v>37.801046700000008</v>
      </c>
      <c r="H94" s="8">
        <f>'Design calculator'!H$50*E94</f>
        <v>0.37406943726293668</v>
      </c>
      <c r="I94" s="2">
        <f t="shared" si="8"/>
        <v>37.426977262737068</v>
      </c>
      <c r="L94" s="4"/>
      <c r="M94" s="8"/>
    </row>
    <row r="95" spans="1:13" x14ac:dyDescent="0.25">
      <c r="A95">
        <v>540</v>
      </c>
      <c r="B95" s="1" t="s">
        <v>159</v>
      </c>
      <c r="C95" s="1">
        <f>'Input-Rainfall Data'!I28</f>
        <v>11.6</v>
      </c>
      <c r="D95" s="2">
        <f>(('Design calculator'!F$6*'Design calculator'!F$32)+('Design calculator'!F$7*'Design calculator'!F$33)+('Design calculator'!F$9*'Design calculator'!F$34))*C95/3600</f>
        <v>1.3624538333333334</v>
      </c>
      <c r="E95" s="1">
        <f>9*3600</f>
        <v>32400</v>
      </c>
      <c r="F95" s="3">
        <f t="shared" si="6"/>
        <v>44143.504200000003</v>
      </c>
      <c r="G95" s="2">
        <f t="shared" si="7"/>
        <v>44.143504200000002</v>
      </c>
      <c r="H95" s="8">
        <f>'Design calculator'!H$50*E95</f>
        <v>0.56110415589440499</v>
      </c>
      <c r="I95" s="2">
        <f t="shared" si="8"/>
        <v>43.582400044105597</v>
      </c>
      <c r="L95" s="4"/>
      <c r="M95" s="8"/>
    </row>
    <row r="96" spans="1:13" x14ac:dyDescent="0.25">
      <c r="A96">
        <v>720</v>
      </c>
      <c r="B96" s="1" t="s">
        <v>160</v>
      </c>
      <c r="C96" s="1">
        <f>'Input-Rainfall Data'!I29</f>
        <v>9.58</v>
      </c>
      <c r="D96" s="2">
        <f>(('Design calculator'!F$6*'Design calculator'!F$32)+('Design calculator'!F$7*'Design calculator'!F$33)+('Design calculator'!F$9*'Design calculator'!F$34))*C96/3600</f>
        <v>1.1251989416666668</v>
      </c>
      <c r="E96" s="1">
        <f>12*3600</f>
        <v>43200</v>
      </c>
      <c r="F96" s="3">
        <f t="shared" si="6"/>
        <v>48608.594280000005</v>
      </c>
      <c r="G96" s="2">
        <f t="shared" si="7"/>
        <v>48.608594280000005</v>
      </c>
      <c r="H96" s="8">
        <f>'Design calculator'!H$50*E96</f>
        <v>0.74813887452587335</v>
      </c>
      <c r="I96" s="2">
        <f t="shared" si="8"/>
        <v>47.860455405474134</v>
      </c>
      <c r="L96" s="4"/>
      <c r="M96" s="8"/>
    </row>
    <row r="97" spans="1:13" x14ac:dyDescent="0.25">
      <c r="A97">
        <v>1080</v>
      </c>
      <c r="B97" s="1" t="s">
        <v>161</v>
      </c>
      <c r="C97" s="1">
        <f>'Input-Rainfall Data'!I30</f>
        <v>7.2</v>
      </c>
      <c r="D97" s="2">
        <f>(('Design calculator'!F$6*'Design calculator'!F$32)+('Design calculator'!F$7*'Design calculator'!F$33)+('Design calculator'!F$9*'Design calculator'!F$34))*C97/3600</f>
        <v>0.84566100000000011</v>
      </c>
      <c r="E97" s="1">
        <f>18*3600</f>
        <v>64800</v>
      </c>
      <c r="F97" s="3">
        <f t="shared" si="6"/>
        <v>54798.832800000004</v>
      </c>
      <c r="G97" s="2">
        <f t="shared" si="7"/>
        <v>54.798832800000007</v>
      </c>
      <c r="H97" s="8">
        <f>'Design calculator'!H$50*E97</f>
        <v>1.12220831178881</v>
      </c>
      <c r="I97" s="2">
        <f t="shared" si="8"/>
        <v>53.676624488211196</v>
      </c>
      <c r="L97" s="4"/>
      <c r="M97" s="8"/>
    </row>
    <row r="98" spans="1:13" x14ac:dyDescent="0.25">
      <c r="A98">
        <v>1440</v>
      </c>
      <c r="B98" s="1" t="s">
        <v>162</v>
      </c>
      <c r="C98" s="1">
        <f>'Input-Rainfall Data'!I31</f>
        <v>5.79</v>
      </c>
      <c r="D98" s="2">
        <f>(('Design calculator'!F$6*'Design calculator'!F$32)+('Design calculator'!F$7*'Design calculator'!F$33)+('Design calculator'!F$9*'Design calculator'!F$34))*C98/3600</f>
        <v>0.68005238749999997</v>
      </c>
      <c r="E98" s="1">
        <f>24*3600</f>
        <v>86400</v>
      </c>
      <c r="F98" s="3">
        <f t="shared" si="6"/>
        <v>58756.526279999998</v>
      </c>
      <c r="G98" s="2">
        <f t="shared" si="7"/>
        <v>58.756526279999996</v>
      </c>
      <c r="H98" s="8">
        <f>'Design calculator'!H$50*E98</f>
        <v>1.4962777490517467</v>
      </c>
      <c r="I98" s="2">
        <f t="shared" si="8"/>
        <v>57.260248530948246</v>
      </c>
      <c r="L98" s="4"/>
      <c r="M98" s="8"/>
    </row>
    <row r="99" spans="1:13" x14ac:dyDescent="0.25">
      <c r="A99">
        <v>1800</v>
      </c>
      <c r="B99" s="1" t="s">
        <v>163</v>
      </c>
      <c r="C99" s="1">
        <f>'Input-Rainfall Data'!I32</f>
        <v>4.8499999999999996</v>
      </c>
      <c r="D99" s="2">
        <f>(('Design calculator'!F$6*'Design calculator'!F$32)+('Design calculator'!F$7*'Design calculator'!F$33)+('Design calculator'!F$9*'Design calculator'!F$34))*C99/3600</f>
        <v>0.56964664583333335</v>
      </c>
      <c r="E99" s="1">
        <f>30*3600</f>
        <v>108000</v>
      </c>
      <c r="F99" s="3">
        <f t="shared" si="6"/>
        <v>61521.837749999999</v>
      </c>
      <c r="G99" s="2">
        <f t="shared" si="7"/>
        <v>61.521837749999996</v>
      </c>
      <c r="H99" s="8">
        <f>'Design calculator'!H$50*E99</f>
        <v>1.8703471863146834</v>
      </c>
      <c r="I99" s="2">
        <f t="shared" si="8"/>
        <v>59.651490563685314</v>
      </c>
      <c r="L99" s="4"/>
      <c r="M99" s="8"/>
    </row>
    <row r="100" spans="1:13" x14ac:dyDescent="0.25">
      <c r="A100">
        <v>2160</v>
      </c>
      <c r="B100" s="1" t="s">
        <v>164</v>
      </c>
      <c r="C100" s="1">
        <f>'Input-Rainfall Data'!I33</f>
        <v>4.17</v>
      </c>
      <c r="D100" s="2">
        <f>(('Design calculator'!F$6*'Design calculator'!F$32)+('Design calculator'!F$7*'Design calculator'!F$33)+('Design calculator'!F$9*'Design calculator'!F$34))*C100/3600</f>
        <v>0.48977866250000002</v>
      </c>
      <c r="E100" s="1">
        <f>36*3600</f>
        <v>129600</v>
      </c>
      <c r="F100" s="3">
        <f t="shared" si="6"/>
        <v>63475.314660000004</v>
      </c>
      <c r="G100" s="2">
        <f t="shared" si="7"/>
        <v>63.475314660000002</v>
      </c>
      <c r="H100" s="8">
        <f>'Design calculator'!H$50*E100</f>
        <v>2.24441662357762</v>
      </c>
      <c r="I100" s="2">
        <f t="shared" si="8"/>
        <v>61.230898036422381</v>
      </c>
      <c r="L100" s="4"/>
      <c r="M100" s="8"/>
    </row>
    <row r="101" spans="1:13" x14ac:dyDescent="0.25">
      <c r="A101">
        <v>2880</v>
      </c>
      <c r="B101" s="1" t="s">
        <v>165</v>
      </c>
      <c r="C101" s="1">
        <f>'Input-Rainfall Data'!I34</f>
        <v>3.27</v>
      </c>
      <c r="D101" s="2">
        <f>(('Design calculator'!F$6*'Design calculator'!F$32)+('Design calculator'!F$7*'Design calculator'!F$33)+('Design calculator'!F$9*'Design calculator'!F$34))*C101/3600</f>
        <v>0.38407103749999999</v>
      </c>
      <c r="E101" s="1">
        <f>48*3600</f>
        <v>172800</v>
      </c>
      <c r="F101" s="3">
        <f t="shared" si="6"/>
        <v>66367.475279999999</v>
      </c>
      <c r="G101" s="2">
        <f t="shared" si="7"/>
        <v>66.367475279999994</v>
      </c>
      <c r="H101" s="8">
        <f>'Design calculator'!H$50*E101</f>
        <v>2.9925554981034934</v>
      </c>
      <c r="I101" s="2">
        <f t="shared" si="8"/>
        <v>63.374919781896502</v>
      </c>
      <c r="L101" s="4"/>
      <c r="M101" s="8"/>
    </row>
    <row r="102" spans="1:13" x14ac:dyDescent="0.25">
      <c r="A102">
        <v>4320</v>
      </c>
      <c r="B102" s="1" t="s">
        <v>166</v>
      </c>
      <c r="C102" s="1">
        <f>'Input-Rainfall Data'!I35</f>
        <v>2.3199999999999998</v>
      </c>
      <c r="D102" s="2">
        <f>(('Design calculator'!F$6*'Design calculator'!F$32)+('Design calculator'!F$7*'Design calculator'!F$33)+('Design calculator'!F$9*'Design calculator'!F$34))*C102/3600</f>
        <v>0.27249076666666666</v>
      </c>
      <c r="E102" s="1">
        <f>72*3600</f>
        <v>259200</v>
      </c>
      <c r="F102" s="3">
        <f t="shared" si="6"/>
        <v>70629.606719999996</v>
      </c>
      <c r="G102" s="2">
        <f t="shared" si="7"/>
        <v>70.629606719999998</v>
      </c>
      <c r="H102" s="8">
        <f>'Design calculator'!H$50*E102</f>
        <v>4.4888332471552399</v>
      </c>
      <c r="I102" s="2">
        <f t="shared" si="8"/>
        <v>66.140773472844756</v>
      </c>
      <c r="L102" s="4"/>
      <c r="M102" s="8"/>
    </row>
    <row r="103" spans="1:13" x14ac:dyDescent="0.25">
      <c r="A103">
        <v>5760</v>
      </c>
      <c r="B103" s="1" t="s">
        <v>167</v>
      </c>
      <c r="C103" s="1">
        <f>'Input-Rainfall Data'!I36</f>
        <v>1.85</v>
      </c>
      <c r="D103" s="2">
        <f>(('Design calculator'!F$6*'Design calculator'!F$32)+('Design calculator'!F$7*'Design calculator'!F$33)+('Design calculator'!F$9*'Design calculator'!F$34))*C103/3600</f>
        <v>0.21728789583333336</v>
      </c>
      <c r="E103" s="1">
        <f>96*3600</f>
        <v>345600</v>
      </c>
      <c r="F103" s="3">
        <f t="shared" si="6"/>
        <v>75094.696800000005</v>
      </c>
      <c r="G103" s="2">
        <f t="shared" si="7"/>
        <v>75.094696800000008</v>
      </c>
      <c r="H103" s="8">
        <f>'Design calculator'!H$50*E103</f>
        <v>5.9851109962069868</v>
      </c>
      <c r="I103" s="2">
        <f t="shared" si="8"/>
        <v>69.109585803793024</v>
      </c>
      <c r="L103" s="4"/>
      <c r="M103" s="8"/>
    </row>
    <row r="104" spans="1:13" x14ac:dyDescent="0.25">
      <c r="A104">
        <v>7200</v>
      </c>
      <c r="B104" s="1" t="s">
        <v>168</v>
      </c>
      <c r="C104" s="1">
        <f>'Input-Rainfall Data'!I37</f>
        <v>1.58</v>
      </c>
      <c r="D104" s="2">
        <f>(('Design calculator'!F$6*'Design calculator'!F$32)+('Design calculator'!F$7*'Design calculator'!F$33)+('Design calculator'!F$9*'Design calculator'!F$34))*C104/3600</f>
        <v>0.18557560833333336</v>
      </c>
      <c r="E104" s="1">
        <f>120*3600</f>
        <v>432000</v>
      </c>
      <c r="F104" s="3">
        <f t="shared" si="6"/>
        <v>80168.66280000002</v>
      </c>
      <c r="G104" s="2">
        <f t="shared" si="7"/>
        <v>80.168662800000021</v>
      </c>
      <c r="H104" s="8">
        <f>'Design calculator'!H$50*E104</f>
        <v>7.4813887452587338</v>
      </c>
      <c r="I104" s="2">
        <f t="shared" si="8"/>
        <v>72.687274054741295</v>
      </c>
      <c r="L104" s="4"/>
      <c r="M104" s="8"/>
    </row>
    <row r="105" spans="1:13" x14ac:dyDescent="0.25">
      <c r="A105">
        <v>8640</v>
      </c>
      <c r="B105" s="1" t="s">
        <v>169</v>
      </c>
      <c r="C105" s="1">
        <f>'Input-Rainfall Data'!I38</f>
        <v>1.42</v>
      </c>
      <c r="D105" s="2">
        <f>(('Design calculator'!F$6*'Design calculator'!F$32)+('Design calculator'!F$7*'Design calculator'!F$33)+('Design calculator'!F$9*'Design calculator'!F$34))*C105/3600</f>
        <v>0.16678314166666666</v>
      </c>
      <c r="E105" s="1">
        <f>144*3600</f>
        <v>518400</v>
      </c>
      <c r="F105" s="3">
        <f t="shared" si="6"/>
        <v>86460.380640000003</v>
      </c>
      <c r="G105" s="2">
        <f t="shared" si="7"/>
        <v>86.460380639999997</v>
      </c>
      <c r="H105" s="8">
        <f>'Design calculator'!H$50*E105</f>
        <v>8.9776664943104798</v>
      </c>
      <c r="I105" s="2">
        <f t="shared" si="8"/>
        <v>77.482714145689513</v>
      </c>
      <c r="L105" s="4"/>
      <c r="M105" s="8"/>
    </row>
    <row r="106" spans="1:13" x14ac:dyDescent="0.25">
      <c r="A106">
        <v>10080</v>
      </c>
      <c r="B106" s="1" t="s">
        <v>170</v>
      </c>
      <c r="C106" s="1">
        <f>'Input-Rainfall Data'!I39</f>
        <v>1.32</v>
      </c>
      <c r="D106" s="2">
        <f>(('Design calculator'!F$6*'Design calculator'!F$32)+('Design calculator'!F$7*'Design calculator'!F$33)+('Design calculator'!F$9*'Design calculator'!F$34))*C106/3600</f>
        <v>0.15503785000000003</v>
      </c>
      <c r="E106" s="1">
        <f>168*3600</f>
        <v>604800</v>
      </c>
      <c r="F106" s="3">
        <f t="shared" si="6"/>
        <v>93766.891680000015</v>
      </c>
      <c r="G106" s="2">
        <f t="shared" si="7"/>
        <v>93.766891680000015</v>
      </c>
      <c r="H106" s="8">
        <f>'Design calculator'!H$50*E106</f>
        <v>10.473944243362228</v>
      </c>
      <c r="I106" s="2">
        <f t="shared" si="8"/>
        <v>83.292947436637789</v>
      </c>
      <c r="L106" s="4"/>
      <c r="M106" s="8"/>
    </row>
    <row r="107" spans="1:13" x14ac:dyDescent="0.25">
      <c r="H107" s="5" t="s">
        <v>237</v>
      </c>
      <c r="I107" s="6">
        <f>MAX(I78:I106)</f>
        <v>83.292947436637789</v>
      </c>
      <c r="J107" t="s">
        <v>238</v>
      </c>
      <c r="L107" s="1"/>
      <c r="M107" s="1"/>
    </row>
    <row r="108" spans="1:13" x14ac:dyDescent="0.25">
      <c r="H108" s="5" t="s">
        <v>239</v>
      </c>
      <c r="I108" s="5" t="str">
        <f>INDEX(B78:B106, MATCH(I107, I78:I106, 0))</f>
        <v>168 hour</v>
      </c>
      <c r="L108" s="1"/>
      <c r="M108" s="1"/>
    </row>
    <row r="109" spans="1:13" x14ac:dyDescent="0.25">
      <c r="H109" s="5" t="s">
        <v>240</v>
      </c>
      <c r="I109" s="5">
        <f>INDEX(C78:C106, MATCH(I107, I78:I106, 0))</f>
        <v>1.32</v>
      </c>
      <c r="L109" s="1"/>
      <c r="M109" s="1"/>
    </row>
    <row r="110" spans="1:13" x14ac:dyDescent="0.25">
      <c r="H110" s="5" t="s">
        <v>241</v>
      </c>
      <c r="I110" s="6">
        <f>INDEX(D78:D106, MATCH(I107, I78:I106, 0))</f>
        <v>0.15503785000000003</v>
      </c>
      <c r="J110" t="s">
        <v>242</v>
      </c>
      <c r="L110" s="1"/>
      <c r="M110" s="1"/>
    </row>
    <row r="111" spans="1:13" x14ac:dyDescent="0.25">
      <c r="H111" s="5" t="str">
        <f>'Design calculator'!F$37 &amp; " Minutes Duration="</f>
        <v>60 Minutes Duration=</v>
      </c>
      <c r="I111" s="6">
        <f>_xlfn.XLOOKUP('Design calculator'!F$37,A$78:A$106,I$78:I$106)</f>
        <v>18.288498793789511</v>
      </c>
      <c r="J111" t="s">
        <v>238</v>
      </c>
      <c r="L111" s="1"/>
      <c r="M111" s="1"/>
    </row>
    <row r="112" spans="1:13" x14ac:dyDescent="0.25">
      <c r="H112" s="1"/>
      <c r="L112" s="1"/>
      <c r="M112" s="1"/>
    </row>
    <row r="113" spans="1:12" x14ac:dyDescent="0.25">
      <c r="B113" s="13"/>
      <c r="C113" s="13"/>
      <c r="D113" s="13"/>
      <c r="E113" s="13"/>
      <c r="F113" s="13"/>
      <c r="G113" s="13"/>
    </row>
    <row r="114" spans="1:12" x14ac:dyDescent="0.25">
      <c r="A114" s="16"/>
      <c r="B114" s="17"/>
      <c r="C114" s="18"/>
      <c r="D114" s="17"/>
      <c r="E114" s="17"/>
      <c r="F114" s="17"/>
      <c r="G114" s="17"/>
      <c r="H114" s="17"/>
      <c r="I114" s="17"/>
      <c r="J114" s="16"/>
      <c r="K114" s="16"/>
      <c r="L114" s="1"/>
    </row>
    <row r="115" spans="1:12" ht="15.75" x14ac:dyDescent="0.25">
      <c r="A115" s="16"/>
      <c r="B115" s="433" t="s">
        <v>250</v>
      </c>
      <c r="C115" s="433"/>
      <c r="D115" s="433"/>
      <c r="E115" s="433"/>
      <c r="F115" s="433"/>
      <c r="G115" s="433"/>
      <c r="H115" s="433"/>
      <c r="I115" s="433"/>
      <c r="J115" s="16"/>
      <c r="K115" s="16"/>
      <c r="L115" s="8"/>
    </row>
    <row r="116" spans="1:12" ht="45" x14ac:dyDescent="0.25">
      <c r="A116" s="16"/>
      <c r="B116" s="19" t="s">
        <v>141</v>
      </c>
      <c r="C116" s="20" t="s">
        <v>243</v>
      </c>
      <c r="D116" s="19" t="s">
        <v>61</v>
      </c>
      <c r="E116" s="19" t="s">
        <v>233</v>
      </c>
      <c r="F116" s="19" t="s">
        <v>234</v>
      </c>
      <c r="G116" s="19" t="s">
        <v>63</v>
      </c>
      <c r="H116" s="21" t="s">
        <v>235</v>
      </c>
      <c r="I116" s="19" t="s">
        <v>236</v>
      </c>
      <c r="J116" s="16"/>
      <c r="K116" s="16"/>
      <c r="L116" s="8"/>
    </row>
    <row r="117" spans="1:12" x14ac:dyDescent="0.25">
      <c r="A117" s="16">
        <v>1</v>
      </c>
      <c r="B117" s="17" t="s">
        <v>142</v>
      </c>
      <c r="C117" s="17">
        <f>'Input-Rainfall Data'!F11</f>
        <v>174</v>
      </c>
      <c r="D117" s="22">
        <f>(('Design calculator'!F$6*'Design calculator'!F$32)+('Design calculator'!F$7*'Design calculator'!F$33)+('Design calculator'!F$9*'Design calculator'!F$34))*C117/3600</f>
        <v>20.436807500000004</v>
      </c>
      <c r="E117" s="17">
        <f>1*60</f>
        <v>60</v>
      </c>
      <c r="F117" s="23">
        <f t="shared" ref="F117:F145" si="9">D117*E117</f>
        <v>1226.2084500000003</v>
      </c>
      <c r="G117" s="24">
        <f t="shared" ref="G117:G145" si="10">F117/1000</f>
        <v>1.2262084500000003</v>
      </c>
      <c r="H117" s="25">
        <f>'Design calculator'!H$50*E117</f>
        <v>1.0390817701748242E-3</v>
      </c>
      <c r="I117" s="22">
        <f>G117-H117</f>
        <v>1.2251693682298255</v>
      </c>
      <c r="J117" s="16"/>
      <c r="K117" s="16"/>
      <c r="L117" s="8"/>
    </row>
    <row r="118" spans="1:12" x14ac:dyDescent="0.25">
      <c r="A118" s="16">
        <v>2</v>
      </c>
      <c r="B118" s="17" t="s">
        <v>143</v>
      </c>
      <c r="C118" s="17">
        <f>'Input-Rainfall Data'!F12</f>
        <v>148</v>
      </c>
      <c r="D118" s="22">
        <f>(('Design calculator'!F$6*'Design calculator'!F$32)+('Design calculator'!F$7*'Design calculator'!F$33)+('Design calculator'!F$9*'Design calculator'!F$34))*C118/3600</f>
        <v>17.383031666666668</v>
      </c>
      <c r="E118" s="17">
        <f>2*60</f>
        <v>120</v>
      </c>
      <c r="F118" s="23">
        <f t="shared" si="9"/>
        <v>2085.9638</v>
      </c>
      <c r="G118" s="24">
        <f t="shared" si="10"/>
        <v>2.0859638</v>
      </c>
      <c r="H118" s="25">
        <f>'Design calculator'!H$50*E118</f>
        <v>2.0781635403496483E-3</v>
      </c>
      <c r="I118" s="22">
        <f t="shared" ref="I118:I145" si="11">G118-H118</f>
        <v>2.0838856364596503</v>
      </c>
      <c r="J118" s="16"/>
      <c r="K118" s="16"/>
      <c r="L118" s="8"/>
    </row>
    <row r="119" spans="1:12" x14ac:dyDescent="0.25">
      <c r="A119" s="16">
        <v>3</v>
      </c>
      <c r="B119" s="17" t="s">
        <v>144</v>
      </c>
      <c r="C119" s="17">
        <f>'Input-Rainfall Data'!F13</f>
        <v>133</v>
      </c>
      <c r="D119" s="22">
        <f>(('Design calculator'!F$6*'Design calculator'!F$32)+('Design calculator'!F$7*'Design calculator'!F$33)+('Design calculator'!F$9*'Design calculator'!F$34))*C119/3600</f>
        <v>15.621237916666667</v>
      </c>
      <c r="E119" s="17">
        <f>3*60</f>
        <v>180</v>
      </c>
      <c r="F119" s="23">
        <f t="shared" si="9"/>
        <v>2811.8228250000002</v>
      </c>
      <c r="G119" s="24">
        <f t="shared" si="10"/>
        <v>2.8118228250000001</v>
      </c>
      <c r="H119" s="25">
        <f>'Design calculator'!H$50*E119</f>
        <v>3.1172453105244723E-3</v>
      </c>
      <c r="I119" s="22">
        <f t="shared" si="11"/>
        <v>2.8087055796894758</v>
      </c>
      <c r="J119" s="16"/>
      <c r="K119" s="16"/>
    </row>
    <row r="120" spans="1:12" x14ac:dyDescent="0.25">
      <c r="A120" s="16">
        <v>4</v>
      </c>
      <c r="B120" s="17" t="s">
        <v>145</v>
      </c>
      <c r="C120" s="17">
        <f>'Input-Rainfall Data'!F14</f>
        <v>122</v>
      </c>
      <c r="D120" s="22">
        <f>(('Design calculator'!F$6*'Design calculator'!F$32)+('Design calculator'!F$7*'Design calculator'!F$33)+('Design calculator'!F$9*'Design calculator'!F$34))*C120/3600</f>
        <v>14.329255833333335</v>
      </c>
      <c r="E120" s="17">
        <f>4*60</f>
        <v>240</v>
      </c>
      <c r="F120" s="23">
        <f t="shared" si="9"/>
        <v>3439.0214000000005</v>
      </c>
      <c r="G120" s="24">
        <f t="shared" si="10"/>
        <v>3.4390214000000006</v>
      </c>
      <c r="H120" s="25">
        <f>'Design calculator'!H$50*E120</f>
        <v>4.1563270806992967E-3</v>
      </c>
      <c r="I120" s="22">
        <f t="shared" si="11"/>
        <v>3.4348650729193011</v>
      </c>
      <c r="J120" s="16"/>
      <c r="K120" s="16"/>
    </row>
    <row r="121" spans="1:12" x14ac:dyDescent="0.25">
      <c r="A121" s="16">
        <v>5</v>
      </c>
      <c r="B121" s="17" t="s">
        <v>146</v>
      </c>
      <c r="C121" s="17">
        <f>'Input-Rainfall Data'!F15</f>
        <v>113</v>
      </c>
      <c r="D121" s="22">
        <f>(('Design calculator'!F$6*'Design calculator'!F$32)+('Design calculator'!F$7*'Design calculator'!F$33)+('Design calculator'!F$9*'Design calculator'!F$34))*C121/3600</f>
        <v>13.272179583333333</v>
      </c>
      <c r="E121" s="17">
        <f>5*60</f>
        <v>300</v>
      </c>
      <c r="F121" s="23">
        <f t="shared" si="9"/>
        <v>3981.653875</v>
      </c>
      <c r="G121" s="24">
        <f t="shared" si="10"/>
        <v>3.9816538750000001</v>
      </c>
      <c r="H121" s="25">
        <f>'Design calculator'!H$50*E121</f>
        <v>5.1954088508741206E-3</v>
      </c>
      <c r="I121" s="22">
        <f t="shared" si="11"/>
        <v>3.976458466149126</v>
      </c>
      <c r="J121" s="16"/>
      <c r="K121" s="16"/>
    </row>
    <row r="122" spans="1:12" x14ac:dyDescent="0.25">
      <c r="A122" s="16">
        <v>10</v>
      </c>
      <c r="B122" s="17" t="s">
        <v>147</v>
      </c>
      <c r="C122" s="17">
        <f>'Input-Rainfall Data'!F16</f>
        <v>83</v>
      </c>
      <c r="D122" s="22">
        <f>(('Design calculator'!F$6*'Design calculator'!F$32)+('Design calculator'!F$7*'Design calculator'!F$33)+('Design calculator'!F$9*'Design calculator'!F$34))*C122/3600</f>
        <v>9.7485920833333353</v>
      </c>
      <c r="E122" s="17">
        <f>10*60</f>
        <v>600</v>
      </c>
      <c r="F122" s="23">
        <f t="shared" si="9"/>
        <v>5849.1552500000016</v>
      </c>
      <c r="G122" s="24">
        <f t="shared" si="10"/>
        <v>5.8491552500000017</v>
      </c>
      <c r="H122" s="25">
        <f>'Design calculator'!H$50*E122</f>
        <v>1.0390817701748241E-2</v>
      </c>
      <c r="I122" s="22">
        <f t="shared" si="11"/>
        <v>5.8387644322982535</v>
      </c>
      <c r="J122" s="16"/>
      <c r="K122" s="16"/>
    </row>
    <row r="123" spans="1:12" x14ac:dyDescent="0.25">
      <c r="A123" s="16">
        <v>15</v>
      </c>
      <c r="B123" s="17" t="s">
        <v>148</v>
      </c>
      <c r="C123" s="17">
        <f>'Input-Rainfall Data'!F17</f>
        <v>66.900000000000006</v>
      </c>
      <c r="D123" s="22">
        <f>(('Design calculator'!F$6*'Design calculator'!F$32)+('Design calculator'!F$7*'Design calculator'!F$33)+('Design calculator'!F$9*'Design calculator'!F$34))*C123/3600</f>
        <v>7.8576001250000012</v>
      </c>
      <c r="E123" s="17">
        <f>15*60</f>
        <v>900</v>
      </c>
      <c r="F123" s="23">
        <f t="shared" si="9"/>
        <v>7071.8401125000009</v>
      </c>
      <c r="G123" s="24">
        <f t="shared" si="10"/>
        <v>7.0718401125000012</v>
      </c>
      <c r="H123" s="25">
        <f>'Design calculator'!H$50*E123</f>
        <v>1.5586226552622363E-2</v>
      </c>
      <c r="I123" s="22">
        <f t="shared" si="11"/>
        <v>7.0562538859473785</v>
      </c>
      <c r="J123" s="16"/>
      <c r="K123" s="16"/>
    </row>
    <row r="124" spans="1:12" x14ac:dyDescent="0.25">
      <c r="A124" s="16">
        <v>20</v>
      </c>
      <c r="B124" s="17" t="s">
        <v>149</v>
      </c>
      <c r="C124" s="17">
        <f>'Input-Rainfall Data'!F18</f>
        <v>56.6</v>
      </c>
      <c r="D124" s="22">
        <f>(('Design calculator'!F$6*'Design calculator'!F$32)+('Design calculator'!F$7*'Design calculator'!F$33)+('Design calculator'!F$9*'Design calculator'!F$34))*C124/3600</f>
        <v>6.6478350833333337</v>
      </c>
      <c r="E124" s="17">
        <f>20*60</f>
        <v>1200</v>
      </c>
      <c r="F124" s="23">
        <f t="shared" si="9"/>
        <v>7977.4021000000002</v>
      </c>
      <c r="G124" s="24">
        <f t="shared" si="10"/>
        <v>7.9774020999999999</v>
      </c>
      <c r="H124" s="25">
        <f>'Design calculator'!H$50*E124</f>
        <v>2.0781635403496482E-2</v>
      </c>
      <c r="I124" s="22">
        <f t="shared" si="11"/>
        <v>7.9566204645965035</v>
      </c>
      <c r="J124" s="16"/>
      <c r="K124" s="16"/>
    </row>
    <row r="125" spans="1:12" x14ac:dyDescent="0.25">
      <c r="A125" s="16">
        <v>25</v>
      </c>
      <c r="B125" s="17" t="s">
        <v>150</v>
      </c>
      <c r="C125" s="17">
        <f>'Input-Rainfall Data'!F19</f>
        <v>49.5</v>
      </c>
      <c r="D125" s="22">
        <f>(('Design calculator'!F$6*'Design calculator'!F$32)+('Design calculator'!F$7*'Design calculator'!F$33)+('Design calculator'!F$9*'Design calculator'!F$34))*C125/3600</f>
        <v>5.8139193750000011</v>
      </c>
      <c r="E125" s="17">
        <f>25*60</f>
        <v>1500</v>
      </c>
      <c r="F125" s="23">
        <f t="shared" si="9"/>
        <v>8720.879062500002</v>
      </c>
      <c r="G125" s="24">
        <f t="shared" si="10"/>
        <v>8.7208790625000017</v>
      </c>
      <c r="H125" s="25">
        <f>'Design calculator'!H$50*E125</f>
        <v>2.5977044254370602E-2</v>
      </c>
      <c r="I125" s="22">
        <f t="shared" si="11"/>
        <v>8.6949020182456316</v>
      </c>
      <c r="J125" s="16"/>
      <c r="K125" s="16"/>
    </row>
    <row r="126" spans="1:12" x14ac:dyDescent="0.25">
      <c r="A126" s="16">
        <v>30</v>
      </c>
      <c r="B126" s="17" t="s">
        <v>151</v>
      </c>
      <c r="C126" s="17">
        <f>'Input-Rainfall Data'!F20</f>
        <v>44.2</v>
      </c>
      <c r="D126" s="22">
        <f>(('Design calculator'!F$6*'Design calculator'!F$32)+('Design calculator'!F$7*'Design calculator'!F$33)+('Design calculator'!F$9*'Design calculator'!F$34))*C126/3600</f>
        <v>5.1914189166666667</v>
      </c>
      <c r="E126" s="17">
        <f>30*60</f>
        <v>1800</v>
      </c>
      <c r="F126" s="23">
        <f t="shared" si="9"/>
        <v>9344.5540500000006</v>
      </c>
      <c r="G126" s="24">
        <f t="shared" si="10"/>
        <v>9.3445540500000011</v>
      </c>
      <c r="H126" s="25">
        <f>'Design calculator'!H$50*E126</f>
        <v>3.1172453105244725E-2</v>
      </c>
      <c r="I126" s="22">
        <f t="shared" si="11"/>
        <v>9.3133815968947555</v>
      </c>
      <c r="J126" s="16"/>
      <c r="K126" s="16"/>
    </row>
    <row r="127" spans="1:12" x14ac:dyDescent="0.25">
      <c r="A127" s="16">
        <v>45</v>
      </c>
      <c r="B127" s="17" t="s">
        <v>152</v>
      </c>
      <c r="C127" s="17">
        <f>'Input-Rainfall Data'!F21</f>
        <v>34.1</v>
      </c>
      <c r="D127" s="22">
        <f>(('Design calculator'!F$6*'Design calculator'!F$32)+('Design calculator'!F$7*'Design calculator'!F$33)+('Design calculator'!F$9*'Design calculator'!F$34))*C127/3600</f>
        <v>4.0051444583333335</v>
      </c>
      <c r="E127" s="17">
        <f>45*60</f>
        <v>2700</v>
      </c>
      <c r="F127" s="23">
        <f t="shared" si="9"/>
        <v>10813.890037500001</v>
      </c>
      <c r="G127" s="24">
        <f t="shared" si="10"/>
        <v>10.813890037500002</v>
      </c>
      <c r="H127" s="25">
        <f>'Design calculator'!H$50*E127</f>
        <v>4.6758679657867085E-2</v>
      </c>
      <c r="I127" s="22">
        <f t="shared" si="11"/>
        <v>10.767131357842135</v>
      </c>
      <c r="J127" s="16"/>
      <c r="K127" s="16"/>
    </row>
    <row r="128" spans="1:12" x14ac:dyDescent="0.25">
      <c r="A128" s="16">
        <v>60</v>
      </c>
      <c r="B128" s="17" t="s">
        <v>153</v>
      </c>
      <c r="C128" s="17">
        <f>'Input-Rainfall Data'!F22</f>
        <v>28.3</v>
      </c>
      <c r="D128" s="22">
        <f>(('Design calculator'!F$6*'Design calculator'!F$32)+('Design calculator'!F$7*'Design calculator'!F$33)+('Design calculator'!F$9*'Design calculator'!F$34))*C128/3600</f>
        <v>3.3239175416666669</v>
      </c>
      <c r="E128" s="17">
        <f>60*60</f>
        <v>3600</v>
      </c>
      <c r="F128" s="23">
        <f t="shared" si="9"/>
        <v>11966.103150000001</v>
      </c>
      <c r="G128" s="24">
        <f t="shared" si="10"/>
        <v>11.96610315</v>
      </c>
      <c r="H128" s="25">
        <f>'Design calculator'!H$50*E128</f>
        <v>6.2344906210489451E-2</v>
      </c>
      <c r="I128" s="22">
        <f t="shared" si="11"/>
        <v>11.903758243789511</v>
      </c>
      <c r="J128" s="16"/>
      <c r="K128" s="16"/>
    </row>
    <row r="129" spans="1:11" x14ac:dyDescent="0.25">
      <c r="A129" s="16">
        <v>90</v>
      </c>
      <c r="B129" s="17" t="s">
        <v>154</v>
      </c>
      <c r="C129" s="17">
        <f>'Input-Rainfall Data'!F23</f>
        <v>21.8</v>
      </c>
      <c r="D129" s="22">
        <f>(('Design calculator'!F$6*'Design calculator'!F$32)+('Design calculator'!F$7*'Design calculator'!F$33)+('Design calculator'!F$9*'Design calculator'!F$34))*C129/3600</f>
        <v>2.5604735833333336</v>
      </c>
      <c r="E129" s="17">
        <f>1.5*3600</f>
        <v>5400</v>
      </c>
      <c r="F129" s="23">
        <f t="shared" si="9"/>
        <v>13826.557350000001</v>
      </c>
      <c r="G129" s="24">
        <f t="shared" si="10"/>
        <v>13.826557350000002</v>
      </c>
      <c r="H129" s="25">
        <f>'Design calculator'!H$50*E129</f>
        <v>9.3517359315734169E-2</v>
      </c>
      <c r="I129" s="22">
        <f t="shared" si="11"/>
        <v>13.733039990684267</v>
      </c>
      <c r="J129" s="16"/>
      <c r="K129" s="16"/>
    </row>
    <row r="130" spans="1:11" x14ac:dyDescent="0.25">
      <c r="A130" s="16">
        <v>120</v>
      </c>
      <c r="B130" s="17" t="s">
        <v>155</v>
      </c>
      <c r="C130" s="17">
        <f>'Input-Rainfall Data'!F24</f>
        <v>18.100000000000001</v>
      </c>
      <c r="D130" s="22">
        <f>(('Design calculator'!F$6*'Design calculator'!F$32)+('Design calculator'!F$7*'Design calculator'!F$33)+('Design calculator'!F$9*'Design calculator'!F$34))*C130/3600</f>
        <v>2.125897791666667</v>
      </c>
      <c r="E130" s="17">
        <f>2*3600</f>
        <v>7200</v>
      </c>
      <c r="F130" s="23">
        <f t="shared" si="9"/>
        <v>15306.464100000003</v>
      </c>
      <c r="G130" s="24">
        <f t="shared" si="10"/>
        <v>15.306464100000003</v>
      </c>
      <c r="H130" s="25">
        <f>'Design calculator'!H$50*E130</f>
        <v>0.1246898124209789</v>
      </c>
      <c r="I130" s="22">
        <f t="shared" si="11"/>
        <v>15.181774287579024</v>
      </c>
      <c r="J130" s="16"/>
      <c r="K130" s="16"/>
    </row>
    <row r="131" spans="1:11" x14ac:dyDescent="0.25">
      <c r="A131" s="16">
        <v>180</v>
      </c>
      <c r="B131" s="17" t="s">
        <v>156</v>
      </c>
      <c r="C131" s="17">
        <f>'Input-Rainfall Data'!F25</f>
        <v>14</v>
      </c>
      <c r="D131" s="22">
        <f>(('Design calculator'!F$6*'Design calculator'!F$32)+('Design calculator'!F$7*'Design calculator'!F$33)+('Design calculator'!F$9*'Design calculator'!F$34))*C131/3600</f>
        <v>1.6443408333333334</v>
      </c>
      <c r="E131" s="17">
        <f>3*3600</f>
        <v>10800</v>
      </c>
      <c r="F131" s="23">
        <f t="shared" si="9"/>
        <v>17758.881000000001</v>
      </c>
      <c r="G131" s="24">
        <f t="shared" si="10"/>
        <v>17.758881000000002</v>
      </c>
      <c r="H131" s="25">
        <f>'Design calculator'!H$50*E131</f>
        <v>0.18703471863146834</v>
      </c>
      <c r="I131" s="22">
        <f t="shared" si="11"/>
        <v>17.571846281368533</v>
      </c>
      <c r="J131" s="16"/>
      <c r="K131" s="16"/>
    </row>
    <row r="132" spans="1:11" x14ac:dyDescent="0.25">
      <c r="A132" s="16">
        <v>270</v>
      </c>
      <c r="B132" s="17" t="s">
        <v>157</v>
      </c>
      <c r="C132" s="17">
        <f>'Input-Rainfall Data'!F26</f>
        <v>10.8</v>
      </c>
      <c r="D132" s="22">
        <f>(('Design calculator'!F$6*'Design calculator'!F$32)+('Design calculator'!F$7*'Design calculator'!F$33)+('Design calculator'!F$9*'Design calculator'!F$34))*C132/3600</f>
        <v>1.2684915000000001</v>
      </c>
      <c r="E132" s="17">
        <f>4.5*3600</f>
        <v>16200</v>
      </c>
      <c r="F132" s="23">
        <f t="shared" si="9"/>
        <v>20549.562300000001</v>
      </c>
      <c r="G132" s="24">
        <f t="shared" si="10"/>
        <v>20.549562300000002</v>
      </c>
      <c r="H132" s="25">
        <f>'Design calculator'!H$50*E132</f>
        <v>0.28055207794720249</v>
      </c>
      <c r="I132" s="22">
        <f t="shared" si="11"/>
        <v>20.269010222052799</v>
      </c>
      <c r="J132" s="16"/>
      <c r="K132" s="16"/>
    </row>
    <row r="133" spans="1:11" x14ac:dyDescent="0.25">
      <c r="A133" s="16">
        <v>360</v>
      </c>
      <c r="B133" s="17" t="s">
        <v>158</v>
      </c>
      <c r="C133" s="17">
        <f>'Input-Rainfall Data'!F27</f>
        <v>8.99</v>
      </c>
      <c r="D133" s="22">
        <f>(('Design calculator'!F$6*'Design calculator'!F$32)+('Design calculator'!F$7*'Design calculator'!F$33)+('Design calculator'!F$9*'Design calculator'!F$34))*C133/3600</f>
        <v>1.0559017208333334</v>
      </c>
      <c r="E133" s="17">
        <f>6*3600</f>
        <v>21600</v>
      </c>
      <c r="F133" s="23">
        <f t="shared" si="9"/>
        <v>22807.477170000002</v>
      </c>
      <c r="G133" s="24">
        <f t="shared" si="10"/>
        <v>22.807477170000002</v>
      </c>
      <c r="H133" s="25">
        <f>'Design calculator'!H$50*E133</f>
        <v>0.37406943726293668</v>
      </c>
      <c r="I133" s="22">
        <f t="shared" si="11"/>
        <v>22.433407732737066</v>
      </c>
      <c r="J133" s="16"/>
      <c r="K133" s="16"/>
    </row>
    <row r="134" spans="1:11" x14ac:dyDescent="0.25">
      <c r="A134" s="16">
        <v>540</v>
      </c>
      <c r="B134" s="17" t="s">
        <v>159</v>
      </c>
      <c r="C134" s="17">
        <f>'Input-Rainfall Data'!F28</f>
        <v>6.94</v>
      </c>
      <c r="D134" s="22">
        <f>(('Design calculator'!F$6*'Design calculator'!F$32)+('Design calculator'!F$7*'Design calculator'!F$33)+('Design calculator'!F$9*'Design calculator'!F$34))*C134/3600</f>
        <v>0.81512324166666683</v>
      </c>
      <c r="E134" s="17">
        <f>9*3600</f>
        <v>32400</v>
      </c>
      <c r="F134" s="23">
        <f t="shared" si="9"/>
        <v>26409.993030000005</v>
      </c>
      <c r="G134" s="24">
        <f t="shared" si="10"/>
        <v>26.409993030000006</v>
      </c>
      <c r="H134" s="25">
        <f>'Design calculator'!H$50*E134</f>
        <v>0.56110415589440499</v>
      </c>
      <c r="I134" s="22">
        <f t="shared" si="11"/>
        <v>25.848888874105601</v>
      </c>
      <c r="J134" s="16"/>
      <c r="K134" s="16"/>
    </row>
    <row r="135" spans="1:11" x14ac:dyDescent="0.25">
      <c r="A135" s="16">
        <v>720</v>
      </c>
      <c r="B135" s="17" t="s">
        <v>160</v>
      </c>
      <c r="C135" s="17">
        <f>'Input-Rainfall Data'!F29</f>
        <v>5.75</v>
      </c>
      <c r="D135" s="22">
        <f>(('Design calculator'!F$6*'Design calculator'!F$32)+('Design calculator'!F$7*'Design calculator'!F$33)+('Design calculator'!F$9*'Design calculator'!F$34))*C135/3600</f>
        <v>0.67535427083333333</v>
      </c>
      <c r="E135" s="17">
        <f>12*3600</f>
        <v>43200</v>
      </c>
      <c r="F135" s="23">
        <f t="shared" si="9"/>
        <v>29175.304499999998</v>
      </c>
      <c r="G135" s="24">
        <f t="shared" si="10"/>
        <v>29.175304499999999</v>
      </c>
      <c r="H135" s="25">
        <f>'Design calculator'!H$50*E135</f>
        <v>0.74813887452587335</v>
      </c>
      <c r="I135" s="22">
        <f t="shared" si="11"/>
        <v>28.427165625474125</v>
      </c>
      <c r="J135" s="16"/>
      <c r="K135" s="16"/>
    </row>
    <row r="136" spans="1:11" x14ac:dyDescent="0.25">
      <c r="A136" s="16">
        <v>1080</v>
      </c>
      <c r="B136" s="17" t="s">
        <v>161</v>
      </c>
      <c r="C136" s="17">
        <f>'Input-Rainfall Data'!F30</f>
        <v>4.3899999999999997</v>
      </c>
      <c r="D136" s="22">
        <f>(('Design calculator'!F$6*'Design calculator'!F$32)+('Design calculator'!F$7*'Design calculator'!F$33)+('Design calculator'!F$9*'Design calculator'!F$34))*C136/3600</f>
        <v>0.51561830416666665</v>
      </c>
      <c r="E136" s="17">
        <f>18*3600</f>
        <v>64800</v>
      </c>
      <c r="F136" s="23">
        <f t="shared" si="9"/>
        <v>33412.06611</v>
      </c>
      <c r="G136" s="24">
        <f t="shared" si="10"/>
        <v>33.412066109999998</v>
      </c>
      <c r="H136" s="25">
        <f>'Design calculator'!H$50*E136</f>
        <v>1.12220831178881</v>
      </c>
      <c r="I136" s="22">
        <f t="shared" si="11"/>
        <v>32.289857798211187</v>
      </c>
      <c r="J136" s="16"/>
      <c r="K136" s="16"/>
    </row>
    <row r="137" spans="1:11" x14ac:dyDescent="0.25">
      <c r="A137" s="16">
        <v>1440</v>
      </c>
      <c r="B137" s="17" t="s">
        <v>162</v>
      </c>
      <c r="C137" s="17">
        <f>'Input-Rainfall Data'!F31</f>
        <v>3.6</v>
      </c>
      <c r="D137" s="22">
        <f>(('Design calculator'!F$6*'Design calculator'!F$32)+('Design calculator'!F$7*'Design calculator'!F$33)+('Design calculator'!F$9*'Design calculator'!F$34))*C137/3600</f>
        <v>0.42283050000000005</v>
      </c>
      <c r="E137" s="17">
        <f>24*3600</f>
        <v>86400</v>
      </c>
      <c r="F137" s="23">
        <f t="shared" si="9"/>
        <v>36532.555200000003</v>
      </c>
      <c r="G137" s="24">
        <f t="shared" si="10"/>
        <v>36.532555200000004</v>
      </c>
      <c r="H137" s="25">
        <f>'Design calculator'!H$50*E137</f>
        <v>1.4962777490517467</v>
      </c>
      <c r="I137" s="22">
        <f t="shared" si="11"/>
        <v>35.036277450948255</v>
      </c>
      <c r="J137" s="16"/>
      <c r="K137" s="16"/>
    </row>
    <row r="138" spans="1:11" x14ac:dyDescent="0.25">
      <c r="A138" s="16">
        <v>1800</v>
      </c>
      <c r="B138" s="17" t="s">
        <v>163</v>
      </c>
      <c r="C138" s="17">
        <f>'Input-Rainfall Data'!F32</f>
        <v>3.07</v>
      </c>
      <c r="D138" s="22">
        <f>(('Design calculator'!F$6*'Design calculator'!F$32)+('Design calculator'!F$7*'Design calculator'!F$33)+('Design calculator'!F$9*'Design calculator'!F$34))*C138/3600</f>
        <v>0.36058045416666668</v>
      </c>
      <c r="E138" s="17">
        <f>30*3600</f>
        <v>108000</v>
      </c>
      <c r="F138" s="23">
        <f t="shared" si="9"/>
        <v>38942.689050000001</v>
      </c>
      <c r="G138" s="24">
        <f t="shared" si="10"/>
        <v>38.942689049999998</v>
      </c>
      <c r="H138" s="25">
        <f>'Design calculator'!H$50*E138</f>
        <v>1.8703471863146834</v>
      </c>
      <c r="I138" s="22">
        <f t="shared" si="11"/>
        <v>37.072341863685317</v>
      </c>
      <c r="J138" s="16"/>
      <c r="K138" s="16"/>
    </row>
    <row r="139" spans="1:11" x14ac:dyDescent="0.25">
      <c r="A139" s="16">
        <v>2160</v>
      </c>
      <c r="B139" s="17" t="s">
        <v>164</v>
      </c>
      <c r="C139" s="17">
        <f>'Input-Rainfall Data'!F33</f>
        <v>2.7</v>
      </c>
      <c r="D139" s="22">
        <f>(('Design calculator'!F$6*'Design calculator'!F$32)+('Design calculator'!F$7*'Design calculator'!F$33)+('Design calculator'!F$9*'Design calculator'!F$34))*C139/3600</f>
        <v>0.31712287500000003</v>
      </c>
      <c r="E139" s="17">
        <f>36*3600</f>
        <v>129600</v>
      </c>
      <c r="F139" s="23">
        <f t="shared" si="9"/>
        <v>41099.124600000003</v>
      </c>
      <c r="G139" s="24">
        <f t="shared" si="10"/>
        <v>41.099124600000003</v>
      </c>
      <c r="H139" s="25">
        <f>'Design calculator'!H$50*E139</f>
        <v>2.24441662357762</v>
      </c>
      <c r="I139" s="22">
        <f t="shared" si="11"/>
        <v>38.854707976422382</v>
      </c>
      <c r="J139" s="16"/>
      <c r="K139" s="16"/>
    </row>
    <row r="140" spans="1:11" x14ac:dyDescent="0.25">
      <c r="A140" s="16">
        <v>2880</v>
      </c>
      <c r="B140" s="17" t="s">
        <v>165</v>
      </c>
      <c r="C140" s="17">
        <f>'Input-Rainfall Data'!F34</f>
        <v>2.19</v>
      </c>
      <c r="D140" s="22">
        <f>(('Design calculator'!F$6*'Design calculator'!F$32)+('Design calculator'!F$7*'Design calculator'!F$33)+('Design calculator'!F$9*'Design calculator'!F$34))*C140/3600</f>
        <v>0.25722188750000002</v>
      </c>
      <c r="E140" s="17">
        <f>48*3600</f>
        <v>172800</v>
      </c>
      <c r="F140" s="23">
        <f t="shared" si="9"/>
        <v>44447.942160000006</v>
      </c>
      <c r="G140" s="24">
        <f t="shared" si="10"/>
        <v>44.447942160000004</v>
      </c>
      <c r="H140" s="25">
        <f>'Design calculator'!H$50*E140</f>
        <v>2.9925554981034934</v>
      </c>
      <c r="I140" s="22">
        <f t="shared" si="11"/>
        <v>41.455386661896512</v>
      </c>
      <c r="J140" s="16"/>
      <c r="K140" s="16"/>
    </row>
    <row r="141" spans="1:11" x14ac:dyDescent="0.25">
      <c r="A141" s="16">
        <v>4320</v>
      </c>
      <c r="B141" s="17" t="s">
        <v>166</v>
      </c>
      <c r="C141" s="17">
        <f>'Input-Rainfall Data'!F35</f>
        <v>1.63</v>
      </c>
      <c r="D141" s="22">
        <f>(('Design calculator'!F$6*'Design calculator'!F$32)+('Design calculator'!F$7*'Design calculator'!F$33)+('Design calculator'!F$9*'Design calculator'!F$34))*C141/3600</f>
        <v>0.19144825416666666</v>
      </c>
      <c r="E141" s="17">
        <f>72*3600</f>
        <v>259200</v>
      </c>
      <c r="F141" s="23">
        <f t="shared" si="9"/>
        <v>49623.387479999998</v>
      </c>
      <c r="G141" s="24">
        <f t="shared" si="10"/>
        <v>49.623387479999998</v>
      </c>
      <c r="H141" s="25">
        <f>'Design calculator'!H$50*E141</f>
        <v>4.4888332471552399</v>
      </c>
      <c r="I141" s="22">
        <f t="shared" si="11"/>
        <v>45.134554232844756</v>
      </c>
      <c r="J141" s="16"/>
      <c r="K141" s="16"/>
    </row>
    <row r="142" spans="1:11" x14ac:dyDescent="0.25">
      <c r="A142" s="16">
        <v>5760</v>
      </c>
      <c r="B142" s="17" t="s">
        <v>167</v>
      </c>
      <c r="C142" s="17">
        <f>'Input-Rainfall Data'!F36</f>
        <v>1.33</v>
      </c>
      <c r="D142" s="22">
        <f>(('Design calculator'!F$6*'Design calculator'!F$32)+('Design calculator'!F$7*'Design calculator'!F$33)+('Design calculator'!F$9*'Design calculator'!F$34))*C142/3600</f>
        <v>0.15621237916666669</v>
      </c>
      <c r="E142" s="17">
        <f>96*3600</f>
        <v>345600</v>
      </c>
      <c r="F142" s="23">
        <f t="shared" si="9"/>
        <v>53986.998240000008</v>
      </c>
      <c r="G142" s="24">
        <f t="shared" si="10"/>
        <v>53.986998240000005</v>
      </c>
      <c r="H142" s="25">
        <f>'Design calculator'!H$50*E142</f>
        <v>5.9851109962069868</v>
      </c>
      <c r="I142" s="22">
        <f t="shared" si="11"/>
        <v>48.001887243793021</v>
      </c>
      <c r="J142" s="16"/>
      <c r="K142" s="16"/>
    </row>
    <row r="143" spans="1:11" x14ac:dyDescent="0.25">
      <c r="A143" s="16">
        <v>7200</v>
      </c>
      <c r="B143" s="17" t="s">
        <v>168</v>
      </c>
      <c r="C143" s="17">
        <f>'Input-Rainfall Data'!F37</f>
        <v>1.1499999999999999</v>
      </c>
      <c r="D143" s="22">
        <f>(('Design calculator'!F$6*'Design calculator'!F$32)+('Design calculator'!F$7*'Design calculator'!F$33)+('Design calculator'!F$9*'Design calculator'!F$34))*C143/3600</f>
        <v>0.13507085416666667</v>
      </c>
      <c r="E143" s="17">
        <f>120*3600</f>
        <v>432000</v>
      </c>
      <c r="F143" s="23">
        <f t="shared" si="9"/>
        <v>58350.609000000004</v>
      </c>
      <c r="G143" s="24">
        <f t="shared" si="10"/>
        <v>58.350609000000006</v>
      </c>
      <c r="H143" s="25">
        <f>'Design calculator'!H$50*E143</f>
        <v>7.4813887452587338</v>
      </c>
      <c r="I143" s="22">
        <f t="shared" si="11"/>
        <v>50.869220254741272</v>
      </c>
      <c r="J143" s="16"/>
      <c r="K143" s="16"/>
    </row>
    <row r="144" spans="1:11" x14ac:dyDescent="0.25">
      <c r="A144" s="16">
        <v>8640</v>
      </c>
      <c r="B144" s="17" t="s">
        <v>169</v>
      </c>
      <c r="C144" s="17">
        <f>'Input-Rainfall Data'!F38</f>
        <v>1.03</v>
      </c>
      <c r="D144" s="22">
        <f>(('Design calculator'!F$6*'Design calculator'!F$32)+('Design calculator'!F$7*'Design calculator'!F$33)+('Design calculator'!F$9*'Design calculator'!F$34))*C144/3600</f>
        <v>0.12097650416666667</v>
      </c>
      <c r="E144" s="17">
        <f>144*3600</f>
        <v>518400</v>
      </c>
      <c r="F144" s="23">
        <f t="shared" si="9"/>
        <v>62714.21976</v>
      </c>
      <c r="G144" s="24">
        <f t="shared" si="10"/>
        <v>62.714219759999999</v>
      </c>
      <c r="H144" s="25">
        <f>'Design calculator'!H$50*E144</f>
        <v>8.9776664943104798</v>
      </c>
      <c r="I144" s="22">
        <f t="shared" si="11"/>
        <v>53.736553265689523</v>
      </c>
      <c r="J144" s="16"/>
      <c r="K144" s="16"/>
    </row>
    <row r="145" spans="1:11" x14ac:dyDescent="0.25">
      <c r="A145" s="16">
        <v>10080</v>
      </c>
      <c r="B145" s="17" t="s">
        <v>170</v>
      </c>
      <c r="C145" s="17">
        <f>'Input-Rainfall Data'!F39</f>
        <v>0.94499999999999995</v>
      </c>
      <c r="D145" s="22">
        <f>(('Design calculator'!F$6*'Design calculator'!F$32)+('Design calculator'!F$7*'Design calculator'!F$33)+('Design calculator'!F$9*'Design calculator'!F$34))*C145/3600</f>
        <v>0.11099300625</v>
      </c>
      <c r="E145" s="17">
        <f>168*3600</f>
        <v>604800</v>
      </c>
      <c r="F145" s="23">
        <f t="shared" si="9"/>
        <v>67128.570179999995</v>
      </c>
      <c r="G145" s="24">
        <f t="shared" si="10"/>
        <v>67.128570179999997</v>
      </c>
      <c r="H145" s="25">
        <f>'Design calculator'!H$50*E145</f>
        <v>10.473944243362228</v>
      </c>
      <c r="I145" s="22">
        <f t="shared" si="11"/>
        <v>56.654625936637771</v>
      </c>
      <c r="J145" s="16"/>
      <c r="K145" s="16"/>
    </row>
    <row r="146" spans="1:11" x14ac:dyDescent="0.25">
      <c r="A146" s="16"/>
      <c r="B146" s="16"/>
      <c r="C146" s="16"/>
      <c r="D146" s="16"/>
      <c r="E146" s="16"/>
      <c r="F146" s="16"/>
      <c r="G146" s="16"/>
      <c r="H146" s="26" t="s">
        <v>237</v>
      </c>
      <c r="I146" s="27">
        <f>MAX(I117:I145)</f>
        <v>56.654625936637771</v>
      </c>
      <c r="J146" s="16" t="s">
        <v>238</v>
      </c>
      <c r="K146" s="16"/>
    </row>
    <row r="147" spans="1:11" x14ac:dyDescent="0.25">
      <c r="A147" s="16"/>
      <c r="B147" s="16"/>
      <c r="C147" s="16"/>
      <c r="D147" s="16"/>
      <c r="E147" s="16"/>
      <c r="F147" s="16"/>
      <c r="G147" s="16"/>
      <c r="H147" s="26" t="s">
        <v>239</v>
      </c>
      <c r="I147" s="26" t="str">
        <f>INDEX(B117:B145, MATCH(I146, I117:I145, 0))</f>
        <v>168 hour</v>
      </c>
      <c r="J147" s="16"/>
      <c r="K147" s="16"/>
    </row>
    <row r="148" spans="1:11" x14ac:dyDescent="0.25">
      <c r="A148" s="16"/>
      <c r="B148" s="16"/>
      <c r="C148" s="16"/>
      <c r="D148" s="16"/>
      <c r="E148" s="16"/>
      <c r="F148" s="16"/>
      <c r="G148" s="16"/>
      <c r="H148" s="26" t="s">
        <v>240</v>
      </c>
      <c r="I148" s="26">
        <f>INDEX(C117:C145, MATCH(I146, I117:I145, 0))</f>
        <v>0.94499999999999995</v>
      </c>
      <c r="J148" s="16"/>
      <c r="K148" s="16"/>
    </row>
    <row r="149" spans="1:11" x14ac:dyDescent="0.25">
      <c r="A149" s="16"/>
      <c r="B149" s="16"/>
      <c r="C149" s="16"/>
      <c r="D149" s="16"/>
      <c r="E149" s="16"/>
      <c r="F149" s="16"/>
      <c r="G149" s="16"/>
      <c r="H149" s="26" t="s">
        <v>241</v>
      </c>
      <c r="I149" s="27">
        <f>INDEX(D117:D145, MATCH(I146, I117:I145, 0))</f>
        <v>0.11099300625</v>
      </c>
      <c r="J149" s="16" t="s">
        <v>242</v>
      </c>
      <c r="K149" s="16"/>
    </row>
    <row r="150" spans="1:11" x14ac:dyDescent="0.25">
      <c r="A150" s="16"/>
      <c r="B150" s="16"/>
      <c r="C150" s="16"/>
      <c r="D150" s="16"/>
      <c r="E150" s="16"/>
      <c r="F150" s="16"/>
      <c r="G150" s="16"/>
      <c r="H150" s="26" t="str">
        <f>'Design calculator'!F$37 &amp; " Minutes Duration="</f>
        <v>60 Minutes Duration=</v>
      </c>
      <c r="I150" s="27">
        <f>_xlfn.XLOOKUP('Design calculator'!F$37,A$41:A$69,I$117:I$145)</f>
        <v>11.903758243789511</v>
      </c>
      <c r="J150" s="16" t="s">
        <v>238</v>
      </c>
      <c r="K150" s="16"/>
    </row>
    <row r="151" spans="1:11" x14ac:dyDescent="0.25">
      <c r="A151" s="16"/>
      <c r="B151" s="16"/>
      <c r="C151" s="16"/>
      <c r="D151" s="16"/>
      <c r="E151" s="16"/>
      <c r="F151" s="16"/>
      <c r="G151" s="16"/>
      <c r="H151" s="16"/>
      <c r="I151" s="16"/>
      <c r="J151" s="16"/>
      <c r="K151" s="16"/>
    </row>
    <row r="152" spans="1:11" x14ac:dyDescent="0.25">
      <c r="A152" s="16"/>
      <c r="B152" s="16"/>
      <c r="C152" s="16"/>
      <c r="D152" s="16"/>
      <c r="E152" s="16"/>
      <c r="F152" s="16"/>
      <c r="G152" s="16"/>
      <c r="H152" s="16"/>
      <c r="I152" s="16"/>
      <c r="J152" s="16"/>
      <c r="K152" s="16"/>
    </row>
    <row r="153" spans="1:11" x14ac:dyDescent="0.25">
      <c r="A153" s="16"/>
      <c r="B153" s="16"/>
      <c r="C153" s="16"/>
      <c r="D153" s="16"/>
      <c r="E153" s="16"/>
      <c r="F153" s="16"/>
      <c r="G153" s="16"/>
      <c r="H153" s="16"/>
      <c r="I153" s="16"/>
      <c r="J153" s="16"/>
      <c r="K153" s="16"/>
    </row>
    <row r="154" spans="1:11" ht="15.75" x14ac:dyDescent="0.25">
      <c r="A154" s="16"/>
      <c r="B154" s="433" t="s">
        <v>251</v>
      </c>
      <c r="C154" s="433"/>
      <c r="D154" s="433"/>
      <c r="E154" s="433"/>
      <c r="F154" s="433"/>
      <c r="G154" s="433"/>
      <c r="H154" s="433"/>
      <c r="I154" s="433"/>
      <c r="J154" s="16"/>
      <c r="K154" s="16"/>
    </row>
    <row r="155" spans="1:11" ht="45" x14ac:dyDescent="0.25">
      <c r="A155" s="16"/>
      <c r="B155" s="19" t="s">
        <v>141</v>
      </c>
      <c r="C155" s="20" t="s">
        <v>243</v>
      </c>
      <c r="D155" s="19" t="s">
        <v>61</v>
      </c>
      <c r="E155" s="19" t="s">
        <v>233</v>
      </c>
      <c r="F155" s="19" t="s">
        <v>234</v>
      </c>
      <c r="G155" s="19" t="s">
        <v>63</v>
      </c>
      <c r="H155" s="21" t="s">
        <v>235</v>
      </c>
      <c r="I155" s="19" t="s">
        <v>236</v>
      </c>
      <c r="J155" s="16"/>
      <c r="K155" s="16"/>
    </row>
    <row r="156" spans="1:11" x14ac:dyDescent="0.25">
      <c r="A156" s="16">
        <v>1</v>
      </c>
      <c r="B156" s="17" t="s">
        <v>142</v>
      </c>
      <c r="C156" s="22">
        <f>'Input-Rainfall Data'!H11</f>
        <v>236</v>
      </c>
      <c r="D156" s="22">
        <f>(('Design calculator'!F$6*'Design calculator'!F$32)+('Design calculator'!F$7*'Design calculator'!F$33)+('Design calculator'!F$9*'Design calculator'!F$34))*C156/3600</f>
        <v>27.718888333333336</v>
      </c>
      <c r="E156" s="17">
        <f>1*60</f>
        <v>60</v>
      </c>
      <c r="F156" s="23">
        <f t="shared" ref="F156:F184" si="12">D156*E156</f>
        <v>1663.1333000000002</v>
      </c>
      <c r="G156" s="24">
        <f t="shared" ref="G156:G184" si="13">F156/1000</f>
        <v>1.6631333000000001</v>
      </c>
      <c r="H156" s="25">
        <f>'Design calculator'!H$50*E156</f>
        <v>1.0390817701748242E-3</v>
      </c>
      <c r="I156" s="22">
        <f>G156-H156</f>
        <v>1.6620942182298253</v>
      </c>
      <c r="J156" s="16"/>
      <c r="K156" s="16"/>
    </row>
    <row r="157" spans="1:11" x14ac:dyDescent="0.25">
      <c r="A157" s="16">
        <v>2</v>
      </c>
      <c r="B157" s="17" t="s">
        <v>143</v>
      </c>
      <c r="C157" s="22">
        <f>'Input-Rainfall Data'!H12</f>
        <v>199</v>
      </c>
      <c r="D157" s="22">
        <f>(('Design calculator'!F$6*'Design calculator'!F$32)+('Design calculator'!F$7*'Design calculator'!F$33)+('Design calculator'!F$9*'Design calculator'!F$34))*C157/3600</f>
        <v>23.373130416666669</v>
      </c>
      <c r="E157" s="17">
        <f>2*60</f>
        <v>120</v>
      </c>
      <c r="F157" s="23">
        <f t="shared" si="12"/>
        <v>2804.7756500000005</v>
      </c>
      <c r="G157" s="24">
        <f t="shared" si="13"/>
        <v>2.8047756500000003</v>
      </c>
      <c r="H157" s="25">
        <f>'Design calculator'!H$50*E157</f>
        <v>2.0781635403496483E-3</v>
      </c>
      <c r="I157" s="22">
        <f t="shared" ref="I157:I184" si="14">G157-H157</f>
        <v>2.8026974864596506</v>
      </c>
      <c r="J157" s="16"/>
      <c r="K157" s="16"/>
    </row>
    <row r="158" spans="1:11" x14ac:dyDescent="0.25">
      <c r="A158" s="16">
        <v>3</v>
      </c>
      <c r="B158" s="17" t="s">
        <v>144</v>
      </c>
      <c r="C158" s="22">
        <f>'Input-Rainfall Data'!H13</f>
        <v>180</v>
      </c>
      <c r="D158" s="22">
        <f>(('Design calculator'!F$6*'Design calculator'!F$32)+('Design calculator'!F$7*'Design calculator'!F$33)+('Design calculator'!F$9*'Design calculator'!F$34))*C158/3600</f>
        <v>21.141525000000001</v>
      </c>
      <c r="E158" s="17">
        <f>3*60</f>
        <v>180</v>
      </c>
      <c r="F158" s="23">
        <f t="shared" si="12"/>
        <v>3805.4745000000003</v>
      </c>
      <c r="G158" s="24">
        <f t="shared" si="13"/>
        <v>3.8054745000000003</v>
      </c>
      <c r="H158" s="25">
        <f>'Design calculator'!H$50*E158</f>
        <v>3.1172453105244723E-3</v>
      </c>
      <c r="I158" s="22">
        <f t="shared" si="14"/>
        <v>3.8023572546894759</v>
      </c>
      <c r="J158" s="16"/>
      <c r="K158" s="16"/>
    </row>
    <row r="159" spans="1:11" x14ac:dyDescent="0.25">
      <c r="A159" s="16">
        <v>4</v>
      </c>
      <c r="B159" s="17" t="s">
        <v>145</v>
      </c>
      <c r="C159" s="22">
        <f>'Input-Rainfall Data'!H14</f>
        <v>165</v>
      </c>
      <c r="D159" s="22">
        <f>(('Design calculator'!F$6*'Design calculator'!F$32)+('Design calculator'!F$7*'Design calculator'!F$33)+('Design calculator'!F$9*'Design calculator'!F$34))*C159/3600</f>
        <v>19.379731249999999</v>
      </c>
      <c r="E159" s="17">
        <f>4*60</f>
        <v>240</v>
      </c>
      <c r="F159" s="23">
        <f t="shared" si="12"/>
        <v>4651.1354999999994</v>
      </c>
      <c r="G159" s="24">
        <f t="shared" si="13"/>
        <v>4.6511354999999996</v>
      </c>
      <c r="H159" s="25">
        <f>'Design calculator'!H$50*E159</f>
        <v>4.1563270806992967E-3</v>
      </c>
      <c r="I159" s="22">
        <f t="shared" si="14"/>
        <v>4.6469791729193002</v>
      </c>
      <c r="J159" s="16"/>
      <c r="K159" s="16"/>
    </row>
    <row r="160" spans="1:11" x14ac:dyDescent="0.25">
      <c r="A160" s="16">
        <v>5</v>
      </c>
      <c r="B160" s="17" t="s">
        <v>146</v>
      </c>
      <c r="C160" s="22">
        <f>'Input-Rainfall Data'!H15</f>
        <v>153</v>
      </c>
      <c r="D160" s="22">
        <f>(('Design calculator'!F$6*'Design calculator'!F$32)+('Design calculator'!F$7*'Design calculator'!F$33)+('Design calculator'!F$9*'Design calculator'!F$34))*C160/3600</f>
        <v>17.970296250000001</v>
      </c>
      <c r="E160" s="17">
        <f>5*60</f>
        <v>300</v>
      </c>
      <c r="F160" s="23">
        <f t="shared" si="12"/>
        <v>5391.0888750000004</v>
      </c>
      <c r="G160" s="24">
        <f t="shared" si="13"/>
        <v>5.3910888750000003</v>
      </c>
      <c r="H160" s="25">
        <f>'Design calculator'!H$50*E160</f>
        <v>5.1954088508741206E-3</v>
      </c>
      <c r="I160" s="22">
        <f t="shared" si="14"/>
        <v>5.3858934661491258</v>
      </c>
      <c r="J160" s="16"/>
      <c r="K160" s="16"/>
    </row>
    <row r="161" spans="1:11" x14ac:dyDescent="0.25">
      <c r="A161" s="16">
        <v>10</v>
      </c>
      <c r="B161" s="17" t="s">
        <v>147</v>
      </c>
      <c r="C161" s="22">
        <f>'Input-Rainfall Data'!H16</f>
        <v>113</v>
      </c>
      <c r="D161" s="22">
        <f>(('Design calculator'!F$6*'Design calculator'!F$32)+('Design calculator'!F$7*'Design calculator'!F$33)+('Design calculator'!F$9*'Design calculator'!F$34))*C161/3600</f>
        <v>13.272179583333333</v>
      </c>
      <c r="E161" s="17">
        <f>10*60</f>
        <v>600</v>
      </c>
      <c r="F161" s="23">
        <f t="shared" si="12"/>
        <v>7963.3077499999999</v>
      </c>
      <c r="G161" s="24">
        <f t="shared" si="13"/>
        <v>7.9633077500000002</v>
      </c>
      <c r="H161" s="25">
        <f>'Design calculator'!H$50*E161</f>
        <v>1.0390817701748241E-2</v>
      </c>
      <c r="I161" s="22">
        <f t="shared" si="14"/>
        <v>7.952916932298252</v>
      </c>
      <c r="J161" s="16"/>
      <c r="K161" s="16"/>
    </row>
    <row r="162" spans="1:11" x14ac:dyDescent="0.25">
      <c r="A162" s="16">
        <v>15</v>
      </c>
      <c r="B162" s="17" t="s">
        <v>148</v>
      </c>
      <c r="C162" s="22">
        <f>'Input-Rainfall Data'!H17</f>
        <v>90.6</v>
      </c>
      <c r="D162" s="22">
        <f>(('Design calculator'!F$6*'Design calculator'!F$32)+('Design calculator'!F$7*'Design calculator'!F$33)+('Design calculator'!F$9*'Design calculator'!F$34))*C162/3600</f>
        <v>10.64123425</v>
      </c>
      <c r="E162" s="17">
        <f>15*60</f>
        <v>900</v>
      </c>
      <c r="F162" s="23">
        <f t="shared" si="12"/>
        <v>9577.1108249999997</v>
      </c>
      <c r="G162" s="24">
        <f t="shared" si="13"/>
        <v>9.5771108250000001</v>
      </c>
      <c r="H162" s="25">
        <f>'Design calculator'!H$50*E162</f>
        <v>1.5586226552622363E-2</v>
      </c>
      <c r="I162" s="22">
        <f t="shared" si="14"/>
        <v>9.5615245984473773</v>
      </c>
      <c r="J162" s="16"/>
      <c r="K162" s="16"/>
    </row>
    <row r="163" spans="1:11" x14ac:dyDescent="0.25">
      <c r="A163" s="16">
        <v>20</v>
      </c>
      <c r="B163" s="17" t="s">
        <v>149</v>
      </c>
      <c r="C163" s="22">
        <f>'Input-Rainfall Data'!H18</f>
        <v>76.599999999999994</v>
      </c>
      <c r="D163" s="22">
        <f>(('Design calculator'!F$6*'Design calculator'!F$32)+('Design calculator'!F$7*'Design calculator'!F$33)+('Design calculator'!F$9*'Design calculator'!F$34))*C163/3600</f>
        <v>8.9968934166666656</v>
      </c>
      <c r="E163" s="17">
        <f>20*60</f>
        <v>1200</v>
      </c>
      <c r="F163" s="23">
        <f t="shared" si="12"/>
        <v>10796.272099999998</v>
      </c>
      <c r="G163" s="24">
        <f t="shared" si="13"/>
        <v>10.796272099999998</v>
      </c>
      <c r="H163" s="25">
        <f>'Design calculator'!H$50*E163</f>
        <v>2.0781635403496482E-2</v>
      </c>
      <c r="I163" s="22">
        <f t="shared" si="14"/>
        <v>10.775490464596501</v>
      </c>
      <c r="J163" s="16"/>
      <c r="K163" s="16"/>
    </row>
    <row r="164" spans="1:11" x14ac:dyDescent="0.25">
      <c r="A164" s="16">
        <v>25</v>
      </c>
      <c r="B164" s="17" t="s">
        <v>150</v>
      </c>
      <c r="C164" s="22">
        <f>'Input-Rainfall Data'!H19</f>
        <v>66.900000000000006</v>
      </c>
      <c r="D164" s="22">
        <f>(('Design calculator'!F$6*'Design calculator'!F$32)+('Design calculator'!F$7*'Design calculator'!F$33)+('Design calculator'!F$9*'Design calculator'!F$34))*C164/3600</f>
        <v>7.8576001250000012</v>
      </c>
      <c r="E164" s="17">
        <f>25*60</f>
        <v>1500</v>
      </c>
      <c r="F164" s="23">
        <f t="shared" si="12"/>
        <v>11786.400187500001</v>
      </c>
      <c r="G164" s="24">
        <f t="shared" si="13"/>
        <v>11.786400187500002</v>
      </c>
      <c r="H164" s="25">
        <f>'Design calculator'!H$50*E164</f>
        <v>2.5977044254370602E-2</v>
      </c>
      <c r="I164" s="22">
        <f t="shared" si="14"/>
        <v>11.760423143245632</v>
      </c>
      <c r="J164" s="16"/>
      <c r="K164" s="16"/>
    </row>
    <row r="165" spans="1:11" x14ac:dyDescent="0.25">
      <c r="A165" s="16">
        <v>30</v>
      </c>
      <c r="B165" s="17" t="s">
        <v>151</v>
      </c>
      <c r="C165" s="22">
        <f>'Input-Rainfall Data'!H20</f>
        <v>59.7</v>
      </c>
      <c r="D165" s="22">
        <f>(('Design calculator'!F$6*'Design calculator'!F$32)+('Design calculator'!F$7*'Design calculator'!F$33)+('Design calculator'!F$9*'Design calculator'!F$34))*C165/3600</f>
        <v>7.0119391250000014</v>
      </c>
      <c r="E165" s="17">
        <f>30*60</f>
        <v>1800</v>
      </c>
      <c r="F165" s="23">
        <f t="shared" si="12"/>
        <v>12621.490425000002</v>
      </c>
      <c r="G165" s="24">
        <f t="shared" si="13"/>
        <v>12.621490425000001</v>
      </c>
      <c r="H165" s="25">
        <f>'Design calculator'!H$50*E165</f>
        <v>3.1172453105244725E-2</v>
      </c>
      <c r="I165" s="22">
        <f t="shared" si="14"/>
        <v>12.590317971894756</v>
      </c>
      <c r="J165" s="16"/>
      <c r="K165" s="16"/>
    </row>
    <row r="166" spans="1:11" x14ac:dyDescent="0.25">
      <c r="A166" s="16">
        <v>45</v>
      </c>
      <c r="B166" s="17" t="s">
        <v>152</v>
      </c>
      <c r="C166" s="22">
        <f>'Input-Rainfall Data'!H21</f>
        <v>46.2</v>
      </c>
      <c r="D166" s="22">
        <f>(('Design calculator'!F$6*'Design calculator'!F$32)+('Design calculator'!F$7*'Design calculator'!F$33)+('Design calculator'!F$9*'Design calculator'!F$34))*C166/3600</f>
        <v>5.42632475</v>
      </c>
      <c r="E166" s="17">
        <f>45*60</f>
        <v>2700</v>
      </c>
      <c r="F166" s="23">
        <f t="shared" si="12"/>
        <v>14651.076825</v>
      </c>
      <c r="G166" s="24">
        <f t="shared" si="13"/>
        <v>14.651076825000001</v>
      </c>
      <c r="H166" s="25">
        <f>'Design calculator'!H$50*E166</f>
        <v>4.6758679657867085E-2</v>
      </c>
      <c r="I166" s="22">
        <f t="shared" si="14"/>
        <v>14.604318145342134</v>
      </c>
      <c r="J166" s="16"/>
      <c r="K166" s="16"/>
    </row>
    <row r="167" spans="1:11" x14ac:dyDescent="0.25">
      <c r="A167" s="16">
        <v>60</v>
      </c>
      <c r="B167" s="17" t="s">
        <v>153</v>
      </c>
      <c r="C167" s="22">
        <f>'Input-Rainfall Data'!H22</f>
        <v>38.5</v>
      </c>
      <c r="D167" s="22">
        <f>(('Design calculator'!F$6*'Design calculator'!F$32)+('Design calculator'!F$7*'Design calculator'!F$33)+('Design calculator'!F$9*'Design calculator'!F$34))*C167/3600</f>
        <v>4.5219372916666671</v>
      </c>
      <c r="E167" s="17">
        <f>60*60</f>
        <v>3600</v>
      </c>
      <c r="F167" s="23">
        <f t="shared" si="12"/>
        <v>16278.974250000001</v>
      </c>
      <c r="G167" s="24">
        <f t="shared" si="13"/>
        <v>16.278974250000001</v>
      </c>
      <c r="H167" s="25">
        <f>'Design calculator'!H$50*E167</f>
        <v>6.2344906210489451E-2</v>
      </c>
      <c r="I167" s="22">
        <f t="shared" si="14"/>
        <v>16.21662934378951</v>
      </c>
      <c r="J167" s="16"/>
      <c r="K167" s="16"/>
    </row>
    <row r="168" spans="1:11" x14ac:dyDescent="0.25">
      <c r="A168" s="16">
        <v>90</v>
      </c>
      <c r="B168" s="17" t="s">
        <v>154</v>
      </c>
      <c r="C168" s="22">
        <f>'Input-Rainfall Data'!H23</f>
        <v>29.9</v>
      </c>
      <c r="D168" s="22">
        <f>(('Design calculator'!F$6*'Design calculator'!F$32)+('Design calculator'!F$7*'Design calculator'!F$33)+('Design calculator'!F$9*'Design calculator'!F$34))*C168/3600</f>
        <v>3.5118422083333334</v>
      </c>
      <c r="E168" s="17">
        <f>1.5*3600</f>
        <v>5400</v>
      </c>
      <c r="F168" s="23">
        <f t="shared" si="12"/>
        <v>18963.947925</v>
      </c>
      <c r="G168" s="24">
        <f t="shared" si="13"/>
        <v>18.963947924999999</v>
      </c>
      <c r="H168" s="25">
        <f>'Design calculator'!H$50*E168</f>
        <v>9.3517359315734169E-2</v>
      </c>
      <c r="I168" s="22">
        <f t="shared" si="14"/>
        <v>18.870430565684266</v>
      </c>
      <c r="J168" s="16"/>
      <c r="K168" s="16"/>
    </row>
    <row r="169" spans="1:11" x14ac:dyDescent="0.25">
      <c r="A169" s="16">
        <v>120</v>
      </c>
      <c r="B169" s="17" t="s">
        <v>155</v>
      </c>
      <c r="C169" s="22">
        <f>'Input-Rainfall Data'!H24</f>
        <v>25</v>
      </c>
      <c r="D169" s="22">
        <f>(('Design calculator'!F$6*'Design calculator'!F$32)+('Design calculator'!F$7*'Design calculator'!F$33)+('Design calculator'!F$9*'Design calculator'!F$34))*C169/3600</f>
        <v>2.9363229166666667</v>
      </c>
      <c r="E169" s="17">
        <f>2*3600</f>
        <v>7200</v>
      </c>
      <c r="F169" s="23">
        <f t="shared" si="12"/>
        <v>21141.525000000001</v>
      </c>
      <c r="G169" s="24">
        <f t="shared" si="13"/>
        <v>21.141525000000001</v>
      </c>
      <c r="H169" s="25">
        <f>'Design calculator'!H$50*E169</f>
        <v>0.1246898124209789</v>
      </c>
      <c r="I169" s="22">
        <f t="shared" si="14"/>
        <v>21.016835187579023</v>
      </c>
      <c r="J169" s="16"/>
      <c r="K169" s="16"/>
    </row>
    <row r="170" spans="1:11" x14ac:dyDescent="0.25">
      <c r="A170" s="16">
        <v>180</v>
      </c>
      <c r="B170" s="17" t="s">
        <v>156</v>
      </c>
      <c r="C170" s="22">
        <f>'Input-Rainfall Data'!H25</f>
        <v>19.600000000000001</v>
      </c>
      <c r="D170" s="22">
        <f>(('Design calculator'!F$6*'Design calculator'!F$32)+('Design calculator'!F$7*'Design calculator'!F$33)+('Design calculator'!F$9*'Design calculator'!F$34))*C170/3600</f>
        <v>2.3020771666666668</v>
      </c>
      <c r="E170" s="17">
        <f>3*3600</f>
        <v>10800</v>
      </c>
      <c r="F170" s="23">
        <f t="shared" si="12"/>
        <v>24862.433400000002</v>
      </c>
      <c r="G170" s="24">
        <f t="shared" si="13"/>
        <v>24.8624334</v>
      </c>
      <c r="H170" s="25">
        <f>'Design calculator'!H$50*E170</f>
        <v>0.18703471863146834</v>
      </c>
      <c r="I170" s="22">
        <f t="shared" si="14"/>
        <v>24.675398681368531</v>
      </c>
      <c r="J170" s="16"/>
      <c r="K170" s="16"/>
    </row>
    <row r="171" spans="1:11" x14ac:dyDescent="0.25">
      <c r="A171" s="16">
        <v>270</v>
      </c>
      <c r="B171" s="17" t="s">
        <v>157</v>
      </c>
      <c r="C171" s="22">
        <f>'Input-Rainfall Data'!H26</f>
        <v>15.3</v>
      </c>
      <c r="D171" s="22">
        <f>(('Design calculator'!F$6*'Design calculator'!F$32)+('Design calculator'!F$7*'Design calculator'!F$33)+('Design calculator'!F$9*'Design calculator'!F$34))*C171/3600</f>
        <v>1.7970296250000002</v>
      </c>
      <c r="E171" s="17">
        <f>4.5*3600</f>
        <v>16200</v>
      </c>
      <c r="F171" s="23">
        <f t="shared" si="12"/>
        <v>29111.879925000005</v>
      </c>
      <c r="G171" s="24">
        <f t="shared" si="13"/>
        <v>29.111879925000004</v>
      </c>
      <c r="H171" s="25">
        <f>'Design calculator'!H$50*E171</f>
        <v>0.28055207794720249</v>
      </c>
      <c r="I171" s="22">
        <f t="shared" si="14"/>
        <v>28.831327847052801</v>
      </c>
      <c r="J171" s="16"/>
      <c r="K171" s="16"/>
    </row>
    <row r="172" spans="1:11" x14ac:dyDescent="0.25">
      <c r="A172" s="16">
        <v>360</v>
      </c>
      <c r="B172" s="17" t="s">
        <v>158</v>
      </c>
      <c r="C172" s="22">
        <f>'Input-Rainfall Data'!H27</f>
        <v>12.8</v>
      </c>
      <c r="D172" s="22">
        <f>(('Design calculator'!F$6*'Design calculator'!F$32)+('Design calculator'!F$7*'Design calculator'!F$33)+('Design calculator'!F$9*'Design calculator'!F$34))*C172/3600</f>
        <v>1.5033973333333335</v>
      </c>
      <c r="E172" s="17">
        <f>6*3600</f>
        <v>21600</v>
      </c>
      <c r="F172" s="23">
        <f t="shared" si="12"/>
        <v>32473.382400000002</v>
      </c>
      <c r="G172" s="24">
        <f t="shared" si="13"/>
        <v>32.473382400000006</v>
      </c>
      <c r="H172" s="25">
        <f>'Design calculator'!H$50*E172</f>
        <v>0.37406943726293668</v>
      </c>
      <c r="I172" s="22">
        <f t="shared" si="14"/>
        <v>32.099312962737066</v>
      </c>
      <c r="J172" s="16"/>
      <c r="K172" s="16"/>
    </row>
    <row r="173" spans="1:11" x14ac:dyDescent="0.25">
      <c r="A173" s="16">
        <v>540</v>
      </c>
      <c r="B173" s="17" t="s">
        <v>159</v>
      </c>
      <c r="C173" s="22">
        <f>'Input-Rainfall Data'!H28</f>
        <v>9.9700000000000006</v>
      </c>
      <c r="D173" s="22">
        <f>(('Design calculator'!F$6*'Design calculator'!F$32)+('Design calculator'!F$7*'Design calculator'!F$33)+('Design calculator'!F$9*'Design calculator'!F$34))*C173/3600</f>
        <v>1.1710055791666667</v>
      </c>
      <c r="E173" s="17">
        <f>9*3600</f>
        <v>32400</v>
      </c>
      <c r="F173" s="23">
        <f t="shared" si="12"/>
        <v>37940.580764999999</v>
      </c>
      <c r="G173" s="24">
        <f t="shared" si="13"/>
        <v>37.940580765</v>
      </c>
      <c r="H173" s="25">
        <f>'Design calculator'!H$50*E173</f>
        <v>0.56110415589440499</v>
      </c>
      <c r="I173" s="22">
        <f t="shared" si="14"/>
        <v>37.379476609105595</v>
      </c>
      <c r="J173" s="16"/>
      <c r="K173" s="16"/>
    </row>
    <row r="174" spans="1:11" x14ac:dyDescent="0.25">
      <c r="A174" s="16">
        <v>720</v>
      </c>
      <c r="B174" s="17" t="s">
        <v>160</v>
      </c>
      <c r="C174" s="22">
        <f>'Input-Rainfall Data'!H29</f>
        <v>8.26</v>
      </c>
      <c r="D174" s="22">
        <f>(('Design calculator'!F$6*'Design calculator'!F$32)+('Design calculator'!F$7*'Design calculator'!F$33)+('Design calculator'!F$9*'Design calculator'!F$34))*C174/3600</f>
        <v>0.97016109166666675</v>
      </c>
      <c r="E174" s="17">
        <f>12*3600</f>
        <v>43200</v>
      </c>
      <c r="F174" s="23">
        <f t="shared" si="12"/>
        <v>41910.959160000006</v>
      </c>
      <c r="G174" s="24">
        <f t="shared" si="13"/>
        <v>41.910959160000004</v>
      </c>
      <c r="H174" s="25">
        <f>'Design calculator'!H$50*E174</f>
        <v>0.74813887452587335</v>
      </c>
      <c r="I174" s="22">
        <f t="shared" si="14"/>
        <v>41.162820285474133</v>
      </c>
      <c r="J174" s="16"/>
      <c r="K174" s="16"/>
    </row>
    <row r="175" spans="1:11" x14ac:dyDescent="0.25">
      <c r="A175" s="16">
        <v>1080</v>
      </c>
      <c r="B175" s="17" t="s">
        <v>161</v>
      </c>
      <c r="C175" s="22">
        <f>'Input-Rainfall Data'!H30</f>
        <v>6.23</v>
      </c>
      <c r="D175" s="22">
        <f>(('Design calculator'!F$6*'Design calculator'!F$32)+('Design calculator'!F$7*'Design calculator'!F$33)+('Design calculator'!F$9*'Design calculator'!F$34))*C175/3600</f>
        <v>0.73173167083333346</v>
      </c>
      <c r="E175" s="17">
        <f>18*3600</f>
        <v>64800</v>
      </c>
      <c r="F175" s="23">
        <f t="shared" si="12"/>
        <v>47416.212270000011</v>
      </c>
      <c r="G175" s="24">
        <f t="shared" si="13"/>
        <v>47.41621227000001</v>
      </c>
      <c r="H175" s="25">
        <f>'Design calculator'!H$50*E175</f>
        <v>1.12220831178881</v>
      </c>
      <c r="I175" s="22">
        <f t="shared" si="14"/>
        <v>46.294003958211199</v>
      </c>
      <c r="J175" s="16"/>
      <c r="K175" s="16"/>
    </row>
    <row r="176" spans="1:11" x14ac:dyDescent="0.25">
      <c r="A176" s="16">
        <v>1440</v>
      </c>
      <c r="B176" s="17" t="s">
        <v>162</v>
      </c>
      <c r="C176" s="22">
        <f>'Input-Rainfall Data'!H31</f>
        <v>5.04</v>
      </c>
      <c r="D176" s="22">
        <f>(('Design calculator'!F$6*'Design calculator'!F$32)+('Design calculator'!F$7*'Design calculator'!F$33)+('Design calculator'!F$9*'Design calculator'!F$34))*C176/3600</f>
        <v>0.59196270000000006</v>
      </c>
      <c r="E176" s="17">
        <f>24*3600</f>
        <v>86400</v>
      </c>
      <c r="F176" s="23">
        <f t="shared" si="12"/>
        <v>51145.577280000005</v>
      </c>
      <c r="G176" s="24">
        <f t="shared" si="13"/>
        <v>51.145577280000005</v>
      </c>
      <c r="H176" s="25">
        <f>'Design calculator'!H$50*E176</f>
        <v>1.4962777490517467</v>
      </c>
      <c r="I176" s="22">
        <f t="shared" si="14"/>
        <v>49.649299530948255</v>
      </c>
      <c r="J176" s="16"/>
      <c r="K176" s="16"/>
    </row>
    <row r="177" spans="1:11" x14ac:dyDescent="0.25">
      <c r="A177" s="16">
        <v>1800</v>
      </c>
      <c r="B177" s="17" t="s">
        <v>163</v>
      </c>
      <c r="C177" s="22">
        <f>'Input-Rainfall Data'!H32</f>
        <v>4.25</v>
      </c>
      <c r="D177" s="22">
        <f>(('Design calculator'!F$6*'Design calculator'!F$32)+('Design calculator'!F$7*'Design calculator'!F$33)+('Design calculator'!F$9*'Design calculator'!F$34))*C177/3600</f>
        <v>0.49917489583333335</v>
      </c>
      <c r="E177" s="17">
        <f>30*3600</f>
        <v>108000</v>
      </c>
      <c r="F177" s="23">
        <f t="shared" si="12"/>
        <v>53910.888750000006</v>
      </c>
      <c r="G177" s="24">
        <f t="shared" si="13"/>
        <v>53.910888750000005</v>
      </c>
      <c r="H177" s="25">
        <f>'Design calculator'!H$50*E177</f>
        <v>1.8703471863146834</v>
      </c>
      <c r="I177" s="22">
        <f t="shared" si="14"/>
        <v>52.040541563685323</v>
      </c>
      <c r="J177" s="16"/>
      <c r="K177" s="16"/>
    </row>
    <row r="178" spans="1:11" x14ac:dyDescent="0.25">
      <c r="A178" s="16">
        <v>2160</v>
      </c>
      <c r="B178" s="17" t="s">
        <v>164</v>
      </c>
      <c r="C178" s="22">
        <f>'Input-Rainfall Data'!H33</f>
        <v>3.68</v>
      </c>
      <c r="D178" s="22">
        <f>(('Design calculator'!F$6*'Design calculator'!F$32)+('Design calculator'!F$7*'Design calculator'!F$33)+('Design calculator'!F$9*'Design calculator'!F$34))*C178/3600</f>
        <v>0.43222673333333339</v>
      </c>
      <c r="E178" s="17">
        <f>36*3600</f>
        <v>129600</v>
      </c>
      <c r="F178" s="23">
        <f t="shared" si="12"/>
        <v>56016.584640000008</v>
      </c>
      <c r="G178" s="24">
        <f t="shared" si="13"/>
        <v>56.016584640000005</v>
      </c>
      <c r="H178" s="25">
        <f>'Design calculator'!H$50*E178</f>
        <v>2.24441662357762</v>
      </c>
      <c r="I178" s="22">
        <f t="shared" si="14"/>
        <v>53.772168016422384</v>
      </c>
      <c r="J178" s="16"/>
      <c r="K178" s="16"/>
    </row>
    <row r="179" spans="1:11" x14ac:dyDescent="0.25">
      <c r="A179" s="16">
        <v>2880</v>
      </c>
      <c r="B179" s="17" t="s">
        <v>165</v>
      </c>
      <c r="C179" s="22">
        <f>'Input-Rainfall Data'!H34</f>
        <v>2.92</v>
      </c>
      <c r="D179" s="22">
        <f>(('Design calculator'!F$6*'Design calculator'!F$32)+('Design calculator'!F$7*'Design calculator'!F$33)+('Design calculator'!F$9*'Design calculator'!F$34))*C179/3600</f>
        <v>0.34296251666666666</v>
      </c>
      <c r="E179" s="17">
        <f>48*3600</f>
        <v>172800</v>
      </c>
      <c r="F179" s="23">
        <f t="shared" si="12"/>
        <v>59263.922879999998</v>
      </c>
      <c r="G179" s="24">
        <f t="shared" si="13"/>
        <v>59.263922879999996</v>
      </c>
      <c r="H179" s="25">
        <f>'Design calculator'!H$50*E179</f>
        <v>2.9925554981034934</v>
      </c>
      <c r="I179" s="22">
        <f t="shared" si="14"/>
        <v>56.271367381896503</v>
      </c>
      <c r="J179" s="16"/>
      <c r="K179" s="16"/>
    </row>
    <row r="180" spans="1:11" x14ac:dyDescent="0.25">
      <c r="A180" s="16">
        <v>4320</v>
      </c>
      <c r="B180" s="17" t="s">
        <v>166</v>
      </c>
      <c r="C180" s="22">
        <f>'Input-Rainfall Data'!H35</f>
        <v>2.1</v>
      </c>
      <c r="D180" s="22">
        <f>(('Design calculator'!F$6*'Design calculator'!F$32)+('Design calculator'!F$7*'Design calculator'!F$33)+('Design calculator'!F$9*'Design calculator'!F$34))*C180/3600</f>
        <v>0.24665112500000003</v>
      </c>
      <c r="E180" s="17">
        <f>72*3600</f>
        <v>259200</v>
      </c>
      <c r="F180" s="23">
        <f t="shared" si="12"/>
        <v>63931.971600000004</v>
      </c>
      <c r="G180" s="24">
        <f t="shared" si="13"/>
        <v>63.931971600000004</v>
      </c>
      <c r="H180" s="25">
        <f>'Design calculator'!H$50*E180</f>
        <v>4.4888332471552399</v>
      </c>
      <c r="I180" s="22">
        <f t="shared" si="14"/>
        <v>59.443138352844763</v>
      </c>
      <c r="J180" s="16"/>
      <c r="K180" s="16"/>
    </row>
    <row r="181" spans="1:11" x14ac:dyDescent="0.25">
      <c r="A181" s="16">
        <v>5760</v>
      </c>
      <c r="B181" s="17" t="s">
        <v>167</v>
      </c>
      <c r="C181" s="22">
        <f>'Input-Rainfall Data'!H36</f>
        <v>1.69</v>
      </c>
      <c r="D181" s="22">
        <f>(('Design calculator'!F$6*'Design calculator'!F$32)+('Design calculator'!F$7*'Design calculator'!F$33)+('Design calculator'!F$9*'Design calculator'!F$34))*C181/3600</f>
        <v>0.19849542916666668</v>
      </c>
      <c r="E181" s="17">
        <f>96*3600</f>
        <v>345600</v>
      </c>
      <c r="F181" s="23">
        <f t="shared" si="12"/>
        <v>68600.020320000011</v>
      </c>
      <c r="G181" s="24">
        <f t="shared" si="13"/>
        <v>68.600020320000013</v>
      </c>
      <c r="H181" s="25">
        <f>'Design calculator'!H$50*E181</f>
        <v>5.9851109962069868</v>
      </c>
      <c r="I181" s="22">
        <f t="shared" si="14"/>
        <v>62.614909323793029</v>
      </c>
      <c r="J181" s="16"/>
      <c r="K181" s="16"/>
    </row>
    <row r="182" spans="1:11" x14ac:dyDescent="0.25">
      <c r="A182" s="16">
        <v>7200</v>
      </c>
      <c r="B182" s="17" t="s">
        <v>168</v>
      </c>
      <c r="C182" s="22">
        <f>'Input-Rainfall Data'!H37</f>
        <v>1.45</v>
      </c>
      <c r="D182" s="22">
        <f>(('Design calculator'!F$6*'Design calculator'!F$32)+('Design calculator'!F$7*'Design calculator'!F$33)+('Design calculator'!F$9*'Design calculator'!F$34))*C182/3600</f>
        <v>0.17030672916666667</v>
      </c>
      <c r="E182" s="17">
        <f>120*3600</f>
        <v>432000</v>
      </c>
      <c r="F182" s="23">
        <f t="shared" si="12"/>
        <v>73572.506999999998</v>
      </c>
      <c r="G182" s="24">
        <f t="shared" si="13"/>
        <v>73.572507000000002</v>
      </c>
      <c r="H182" s="25">
        <f>'Design calculator'!H$50*E182</f>
        <v>7.4813887452587338</v>
      </c>
      <c r="I182" s="22">
        <f t="shared" si="14"/>
        <v>66.091118254741275</v>
      </c>
      <c r="J182" s="16"/>
      <c r="K182" s="16"/>
    </row>
    <row r="183" spans="1:11" x14ac:dyDescent="0.25">
      <c r="A183" s="16">
        <v>8640</v>
      </c>
      <c r="B183" s="17" t="s">
        <v>169</v>
      </c>
      <c r="C183" s="22">
        <f>'Input-Rainfall Data'!H38</f>
        <v>1.3</v>
      </c>
      <c r="D183" s="22">
        <f>(('Design calculator'!F$6*'Design calculator'!F$32)+('Design calculator'!F$7*'Design calculator'!F$33)+('Design calculator'!F$9*'Design calculator'!F$34))*C183/3600</f>
        <v>0.15268879166666668</v>
      </c>
      <c r="E183" s="17">
        <f>144*3600</f>
        <v>518400</v>
      </c>
      <c r="F183" s="23">
        <f t="shared" si="12"/>
        <v>79153.869600000005</v>
      </c>
      <c r="G183" s="24">
        <f t="shared" si="13"/>
        <v>79.153869600000007</v>
      </c>
      <c r="H183" s="25">
        <f>'Design calculator'!H$50*E183</f>
        <v>8.9776664943104798</v>
      </c>
      <c r="I183" s="22">
        <f t="shared" si="14"/>
        <v>70.176203105689524</v>
      </c>
      <c r="J183" s="16"/>
      <c r="K183" s="16"/>
    </row>
    <row r="184" spans="1:11" x14ac:dyDescent="0.25">
      <c r="A184" s="16">
        <v>10080</v>
      </c>
      <c r="B184" s="17" t="s">
        <v>170</v>
      </c>
      <c r="C184" s="22">
        <f>'Input-Rainfall Data'!H39</f>
        <v>1.21</v>
      </c>
      <c r="D184" s="22">
        <f>(('Design calculator'!F$6*'Design calculator'!F$32)+('Design calculator'!F$7*'Design calculator'!F$33)+('Design calculator'!F$9*'Design calculator'!F$34))*C184/3600</f>
        <v>0.14211802916666666</v>
      </c>
      <c r="E184" s="17">
        <f>168*3600</f>
        <v>604800</v>
      </c>
      <c r="F184" s="23">
        <f t="shared" si="12"/>
        <v>85952.984039999996</v>
      </c>
      <c r="G184" s="24">
        <f t="shared" si="13"/>
        <v>85.95298403999999</v>
      </c>
      <c r="H184" s="25">
        <f>'Design calculator'!H$50*E184</f>
        <v>10.473944243362228</v>
      </c>
      <c r="I184" s="22">
        <f t="shared" si="14"/>
        <v>75.479039796637764</v>
      </c>
      <c r="J184" s="16"/>
      <c r="K184" s="16"/>
    </row>
    <row r="185" spans="1:11" x14ac:dyDescent="0.25">
      <c r="A185" s="16"/>
      <c r="B185" s="16"/>
      <c r="C185" s="16"/>
      <c r="D185" s="16"/>
      <c r="E185" s="16"/>
      <c r="F185" s="16"/>
      <c r="G185" s="16"/>
      <c r="H185" s="26" t="s">
        <v>237</v>
      </c>
      <c r="I185" s="27">
        <f>MAX(I156:I184)</f>
        <v>75.479039796637764</v>
      </c>
      <c r="J185" s="16" t="s">
        <v>238</v>
      </c>
      <c r="K185" s="16"/>
    </row>
    <row r="186" spans="1:11" x14ac:dyDescent="0.25">
      <c r="A186" s="16"/>
      <c r="B186" s="16"/>
      <c r="C186" s="16"/>
      <c r="D186" s="16"/>
      <c r="E186" s="16"/>
      <c r="F186" s="16"/>
      <c r="G186" s="16"/>
      <c r="H186" s="26" t="s">
        <v>239</v>
      </c>
      <c r="I186" s="26" t="str">
        <f>INDEX(B156:B184, MATCH(I185, I156:I184, 0))</f>
        <v>168 hour</v>
      </c>
      <c r="J186" s="16"/>
      <c r="K186" s="16"/>
    </row>
    <row r="187" spans="1:11" x14ac:dyDescent="0.25">
      <c r="A187" s="16"/>
      <c r="B187" s="16"/>
      <c r="C187" s="16"/>
      <c r="D187" s="16"/>
      <c r="E187" s="16"/>
      <c r="F187" s="16"/>
      <c r="G187" s="16"/>
      <c r="H187" s="26" t="s">
        <v>240</v>
      </c>
      <c r="I187" s="26">
        <f>INDEX(C156:C184, MATCH(I185, I156:I184, 0))</f>
        <v>1.21</v>
      </c>
      <c r="J187" s="16"/>
      <c r="K187" s="16"/>
    </row>
    <row r="188" spans="1:11" x14ac:dyDescent="0.25">
      <c r="A188" s="16"/>
      <c r="B188" s="16"/>
      <c r="C188" s="16"/>
      <c r="D188" s="16"/>
      <c r="E188" s="16"/>
      <c r="F188" s="16"/>
      <c r="G188" s="16"/>
      <c r="H188" s="26" t="s">
        <v>241</v>
      </c>
      <c r="I188" s="27">
        <f>INDEX(D156:D184, MATCH(I185, I156:I184, 0))</f>
        <v>0.14211802916666666</v>
      </c>
      <c r="J188" s="16" t="s">
        <v>242</v>
      </c>
      <c r="K188" s="16"/>
    </row>
    <row r="189" spans="1:11" x14ac:dyDescent="0.25">
      <c r="A189" s="16"/>
      <c r="B189" s="16"/>
      <c r="C189" s="16"/>
      <c r="D189" s="16"/>
      <c r="E189" s="16"/>
      <c r="F189" s="16"/>
      <c r="G189" s="16"/>
      <c r="H189" s="26" t="str">
        <f>'Design calculator'!F$37 &amp; " Minutes Duration="</f>
        <v>60 Minutes Duration=</v>
      </c>
      <c r="I189" s="27">
        <f>_xlfn.XLOOKUP('Design calculator'!F$37,A$41:A$69,I$156:I$184)</f>
        <v>16.21662934378951</v>
      </c>
      <c r="J189" s="16" t="s">
        <v>238</v>
      </c>
      <c r="K189" s="16"/>
    </row>
    <row r="190" spans="1:11" x14ac:dyDescent="0.25">
      <c r="A190" s="16"/>
      <c r="B190" s="16"/>
      <c r="C190" s="16"/>
      <c r="D190" s="16"/>
      <c r="E190" s="16"/>
      <c r="F190" s="16"/>
      <c r="G190" s="16"/>
      <c r="H190" s="16"/>
      <c r="I190" s="16"/>
      <c r="J190" s="16"/>
      <c r="K190" s="16"/>
    </row>
    <row r="191" spans="1:11" x14ac:dyDescent="0.25">
      <c r="A191" s="16"/>
      <c r="B191" s="16"/>
      <c r="C191" s="16"/>
      <c r="D191" s="16"/>
      <c r="E191" s="16"/>
      <c r="F191" s="16"/>
      <c r="G191" s="16"/>
      <c r="H191" s="16"/>
      <c r="I191" s="16"/>
      <c r="J191" s="16"/>
      <c r="K191" s="16"/>
    </row>
    <row r="192" spans="1:11" ht="15.75" x14ac:dyDescent="0.25">
      <c r="A192" s="16"/>
      <c r="B192" s="433" t="s">
        <v>252</v>
      </c>
      <c r="C192" s="433"/>
      <c r="D192" s="433"/>
      <c r="E192" s="433"/>
      <c r="F192" s="433"/>
      <c r="G192" s="433"/>
      <c r="H192" s="433"/>
      <c r="I192" s="433"/>
      <c r="J192" s="16"/>
      <c r="K192" s="16"/>
    </row>
    <row r="193" spans="1:11" ht="45" x14ac:dyDescent="0.25">
      <c r="A193" s="16"/>
      <c r="B193" s="19" t="s">
        <v>141</v>
      </c>
      <c r="C193" s="20" t="s">
        <v>243</v>
      </c>
      <c r="D193" s="19" t="s">
        <v>61</v>
      </c>
      <c r="E193" s="19" t="s">
        <v>233</v>
      </c>
      <c r="F193" s="19" t="s">
        <v>234</v>
      </c>
      <c r="G193" s="19" t="s">
        <v>63</v>
      </c>
      <c r="H193" s="21" t="s">
        <v>235</v>
      </c>
      <c r="I193" s="19" t="s">
        <v>236</v>
      </c>
      <c r="J193" s="16"/>
      <c r="K193" s="16"/>
    </row>
    <row r="194" spans="1:11" x14ac:dyDescent="0.25">
      <c r="A194" s="16">
        <v>1</v>
      </c>
      <c r="B194" s="17" t="s">
        <v>142</v>
      </c>
      <c r="C194" s="22">
        <f>'Input-Rainfall Data'!E11</f>
        <v>149</v>
      </c>
      <c r="D194" s="22">
        <f>(('Design calculator'!F$6*'Design calculator'!F$32)+('Design calculator'!F$7*'Design calculator'!F$33)+('Design calculator'!F$9*'Design calculator'!F$34))*C194/3600</f>
        <v>17.500484583333332</v>
      </c>
      <c r="E194" s="17">
        <f>1*60</f>
        <v>60</v>
      </c>
      <c r="F194" s="23">
        <f t="shared" ref="F194:F222" si="15">D194*E194</f>
        <v>1050.0290749999999</v>
      </c>
      <c r="G194" s="24">
        <f t="shared" ref="G194:G222" si="16">F194/1000</f>
        <v>1.0500290749999999</v>
      </c>
      <c r="H194" s="25">
        <f>'Design calculator'!H$50*E194</f>
        <v>1.0390817701748242E-3</v>
      </c>
      <c r="I194" s="22">
        <f>G194-H194</f>
        <v>1.048989993229825</v>
      </c>
      <c r="J194" s="16"/>
      <c r="K194" s="16"/>
    </row>
    <row r="195" spans="1:11" x14ac:dyDescent="0.25">
      <c r="A195" s="16">
        <v>2</v>
      </c>
      <c r="B195" s="17" t="s">
        <v>143</v>
      </c>
      <c r="C195" s="22">
        <f>'Input-Rainfall Data'!E12</f>
        <v>127</v>
      </c>
      <c r="D195" s="22">
        <f>(('Design calculator'!F$6*'Design calculator'!F$32)+('Design calculator'!F$7*'Design calculator'!F$33)+('Design calculator'!F$9*'Design calculator'!F$34))*C195/3600</f>
        <v>14.916520416666669</v>
      </c>
      <c r="E195" s="17">
        <f>2*60</f>
        <v>120</v>
      </c>
      <c r="F195" s="23">
        <f t="shared" si="15"/>
        <v>1789.9824500000004</v>
      </c>
      <c r="G195" s="24">
        <f t="shared" si="16"/>
        <v>1.7899824500000003</v>
      </c>
      <c r="H195" s="25">
        <f>'Design calculator'!H$50*E195</f>
        <v>2.0781635403496483E-3</v>
      </c>
      <c r="I195" s="22">
        <f t="shared" ref="I195:I222" si="17">G195-H195</f>
        <v>1.7879042864596506</v>
      </c>
      <c r="J195" s="16"/>
      <c r="K195" s="16"/>
    </row>
    <row r="196" spans="1:11" x14ac:dyDescent="0.25">
      <c r="A196" s="16">
        <v>3</v>
      </c>
      <c r="B196" s="17" t="s">
        <v>144</v>
      </c>
      <c r="C196" s="22">
        <f>'Input-Rainfall Data'!E13</f>
        <v>114</v>
      </c>
      <c r="D196" s="22">
        <f>(('Design calculator'!F$6*'Design calculator'!F$32)+('Design calculator'!F$7*'Design calculator'!F$33)+('Design calculator'!F$9*'Design calculator'!F$34))*C196/3600</f>
        <v>13.389632500000001</v>
      </c>
      <c r="E196" s="17">
        <f>3*60</f>
        <v>180</v>
      </c>
      <c r="F196" s="23">
        <f t="shared" si="15"/>
        <v>2410.1338500000002</v>
      </c>
      <c r="G196" s="24">
        <f t="shared" si="16"/>
        <v>2.4101338500000002</v>
      </c>
      <c r="H196" s="25">
        <f>'Design calculator'!H$50*E196</f>
        <v>3.1172453105244723E-3</v>
      </c>
      <c r="I196" s="22">
        <f t="shared" si="17"/>
        <v>2.4070166046894759</v>
      </c>
      <c r="J196" s="16"/>
      <c r="K196" s="16"/>
    </row>
    <row r="197" spans="1:11" x14ac:dyDescent="0.25">
      <c r="A197" s="16">
        <v>4</v>
      </c>
      <c r="B197" s="17" t="s">
        <v>145</v>
      </c>
      <c r="C197" s="22">
        <f>'Input-Rainfall Data'!E14</f>
        <v>104</v>
      </c>
      <c r="D197" s="22">
        <f>(('Design calculator'!F$6*'Design calculator'!F$32)+('Design calculator'!F$7*'Design calculator'!F$33)+('Design calculator'!F$9*'Design calculator'!F$34))*C197/3600</f>
        <v>12.215103333333333</v>
      </c>
      <c r="E197" s="17">
        <f>4*60</f>
        <v>240</v>
      </c>
      <c r="F197" s="23">
        <f t="shared" si="15"/>
        <v>2931.6248000000001</v>
      </c>
      <c r="G197" s="24">
        <f t="shared" si="16"/>
        <v>2.9316248000000003</v>
      </c>
      <c r="H197" s="25">
        <f>'Design calculator'!H$50*E197</f>
        <v>4.1563270806992967E-3</v>
      </c>
      <c r="I197" s="22">
        <f t="shared" si="17"/>
        <v>2.9274684729193008</v>
      </c>
      <c r="J197" s="16"/>
      <c r="K197" s="16"/>
    </row>
    <row r="198" spans="1:11" x14ac:dyDescent="0.25">
      <c r="A198" s="16">
        <v>5</v>
      </c>
      <c r="B198" s="17" t="s">
        <v>146</v>
      </c>
      <c r="C198" s="22">
        <f>'Input-Rainfall Data'!E15</f>
        <v>96.3</v>
      </c>
      <c r="D198" s="22">
        <f>(('Design calculator'!F$6*'Design calculator'!F$32)+('Design calculator'!F$7*'Design calculator'!F$33)+('Design calculator'!F$9*'Design calculator'!F$34))*C198/3600</f>
        <v>11.310715875000001</v>
      </c>
      <c r="E198" s="17">
        <f>5*60</f>
        <v>300</v>
      </c>
      <c r="F198" s="23">
        <f t="shared" si="15"/>
        <v>3393.2147625000002</v>
      </c>
      <c r="G198" s="24">
        <f t="shared" si="16"/>
        <v>3.3932147625000004</v>
      </c>
      <c r="H198" s="25">
        <f>'Design calculator'!H$50*E198</f>
        <v>5.1954088508741206E-3</v>
      </c>
      <c r="I198" s="22">
        <f t="shared" si="17"/>
        <v>3.3880193536491263</v>
      </c>
      <c r="J198" s="16"/>
      <c r="K198" s="16"/>
    </row>
    <row r="199" spans="1:11" x14ac:dyDescent="0.25">
      <c r="A199" s="16">
        <v>10</v>
      </c>
      <c r="B199" s="17" t="s">
        <v>147</v>
      </c>
      <c r="C199" s="22">
        <f>'Input-Rainfall Data'!E16</f>
        <v>70.900000000000006</v>
      </c>
      <c r="D199" s="22">
        <f>(('Design calculator'!F$6*'Design calculator'!F$32)+('Design calculator'!F$7*'Design calculator'!F$33)+('Design calculator'!F$9*'Design calculator'!F$34))*C199/3600</f>
        <v>8.3274117916666679</v>
      </c>
      <c r="E199" s="17">
        <f>10*60</f>
        <v>600</v>
      </c>
      <c r="F199" s="23">
        <f t="shared" si="15"/>
        <v>4996.447075000001</v>
      </c>
      <c r="G199" s="24">
        <f t="shared" si="16"/>
        <v>4.9964470750000007</v>
      </c>
      <c r="H199" s="25">
        <f>'Design calculator'!H$50*E199</f>
        <v>1.0390817701748241E-2</v>
      </c>
      <c r="I199" s="22">
        <f t="shared" si="17"/>
        <v>4.9860562572982525</v>
      </c>
      <c r="J199" s="16"/>
      <c r="K199" s="16"/>
    </row>
    <row r="200" spans="1:11" x14ac:dyDescent="0.25">
      <c r="A200" s="16">
        <v>15</v>
      </c>
      <c r="B200" s="17" t="s">
        <v>148</v>
      </c>
      <c r="C200" s="22">
        <f>'Input-Rainfall Data'!E17</f>
        <v>57.1</v>
      </c>
      <c r="D200" s="22">
        <f>(('Design calculator'!F$6*'Design calculator'!F$32)+('Design calculator'!F$7*'Design calculator'!F$33)+('Design calculator'!F$9*'Design calculator'!F$34))*C200/3600</f>
        <v>6.7065615416666677</v>
      </c>
      <c r="E200" s="17">
        <f>15*60</f>
        <v>900</v>
      </c>
      <c r="F200" s="23">
        <f t="shared" si="15"/>
        <v>6035.9053875000009</v>
      </c>
      <c r="G200" s="24">
        <f t="shared" si="16"/>
        <v>6.0359053875000006</v>
      </c>
      <c r="H200" s="25">
        <f>'Design calculator'!H$50*E200</f>
        <v>1.5586226552622363E-2</v>
      </c>
      <c r="I200" s="22">
        <f t="shared" si="17"/>
        <v>6.0203191609473778</v>
      </c>
      <c r="J200" s="16"/>
      <c r="K200" s="16"/>
    </row>
    <row r="201" spans="1:11" x14ac:dyDescent="0.25">
      <c r="A201" s="16">
        <v>20</v>
      </c>
      <c r="B201" s="17" t="s">
        <v>149</v>
      </c>
      <c r="C201" s="22">
        <f>'Input-Rainfall Data'!E18</f>
        <v>48.4</v>
      </c>
      <c r="D201" s="22">
        <f>(('Design calculator'!F$6*'Design calculator'!F$32)+('Design calculator'!F$7*'Design calculator'!F$33)+('Design calculator'!F$9*'Design calculator'!F$34))*C201/3600</f>
        <v>5.6847211666666668</v>
      </c>
      <c r="E201" s="17">
        <f>20*60</f>
        <v>1200</v>
      </c>
      <c r="F201" s="23">
        <f t="shared" si="15"/>
        <v>6821.6653999999999</v>
      </c>
      <c r="G201" s="24">
        <f t="shared" si="16"/>
        <v>6.8216653999999997</v>
      </c>
      <c r="H201" s="25">
        <f>'Design calculator'!H$50*E201</f>
        <v>2.0781635403496482E-2</v>
      </c>
      <c r="I201" s="22">
        <f t="shared" si="17"/>
        <v>6.8008837645965032</v>
      </c>
      <c r="J201" s="16"/>
      <c r="K201" s="16"/>
    </row>
    <row r="202" spans="1:11" x14ac:dyDescent="0.25">
      <c r="A202" s="16">
        <v>25</v>
      </c>
      <c r="B202" s="17" t="s">
        <v>150</v>
      </c>
      <c r="C202" s="22">
        <f>'Input-Rainfall Data'!E19</f>
        <v>42.3</v>
      </c>
      <c r="D202" s="22">
        <f>(('Design calculator'!F$6*'Design calculator'!F$32)+('Design calculator'!F$7*'Design calculator'!F$33)+('Design calculator'!F$9*'Design calculator'!F$34))*C202/3600</f>
        <v>4.9682583749999996</v>
      </c>
      <c r="E202" s="17">
        <f>25*60</f>
        <v>1500</v>
      </c>
      <c r="F202" s="23">
        <f t="shared" si="15"/>
        <v>7452.3875624999991</v>
      </c>
      <c r="G202" s="24">
        <f t="shared" si="16"/>
        <v>7.4523875624999993</v>
      </c>
      <c r="H202" s="25">
        <f>'Design calculator'!H$50*E202</f>
        <v>2.5977044254370602E-2</v>
      </c>
      <c r="I202" s="22">
        <f t="shared" si="17"/>
        <v>7.4264105182456284</v>
      </c>
      <c r="J202" s="16"/>
      <c r="K202" s="16"/>
    </row>
    <row r="203" spans="1:11" x14ac:dyDescent="0.25">
      <c r="A203" s="16">
        <v>30</v>
      </c>
      <c r="B203" s="17" t="s">
        <v>151</v>
      </c>
      <c r="C203" s="22">
        <f>'Input-Rainfall Data'!E20</f>
        <v>37.799999999999997</v>
      </c>
      <c r="D203" s="22">
        <f>(('Design calculator'!F$6*'Design calculator'!F$32)+('Design calculator'!F$7*'Design calculator'!F$33)+('Design calculator'!F$9*'Design calculator'!F$34))*C203/3600</f>
        <v>4.4397202499999997</v>
      </c>
      <c r="E203" s="17">
        <f>30*60</f>
        <v>1800</v>
      </c>
      <c r="F203" s="23">
        <f t="shared" si="15"/>
        <v>7991.4964499999996</v>
      </c>
      <c r="G203" s="24">
        <f t="shared" si="16"/>
        <v>7.9914964499999996</v>
      </c>
      <c r="H203" s="25">
        <f>'Design calculator'!H$50*E203</f>
        <v>3.1172453105244725E-2</v>
      </c>
      <c r="I203" s="22">
        <f t="shared" si="17"/>
        <v>7.960323996894755</v>
      </c>
      <c r="J203" s="16"/>
      <c r="K203" s="16"/>
    </row>
    <row r="204" spans="1:11" x14ac:dyDescent="0.25">
      <c r="A204" s="16">
        <v>45</v>
      </c>
      <c r="B204" s="17" t="s">
        <v>152</v>
      </c>
      <c r="C204" s="22">
        <f>'Input-Rainfall Data'!E21</f>
        <v>29.2</v>
      </c>
      <c r="D204" s="22">
        <f>(('Design calculator'!F$6*'Design calculator'!F$32)+('Design calculator'!F$7*'Design calculator'!F$33)+('Design calculator'!F$9*'Design calculator'!F$34))*C204/3600</f>
        <v>3.4296251666666668</v>
      </c>
      <c r="E204" s="17">
        <f>45*60</f>
        <v>2700</v>
      </c>
      <c r="F204" s="23">
        <f t="shared" si="15"/>
        <v>9259.9879500000006</v>
      </c>
      <c r="G204" s="24">
        <f t="shared" si="16"/>
        <v>9.2599879500000011</v>
      </c>
      <c r="H204" s="25">
        <f>'Design calculator'!H$50*E204</f>
        <v>4.6758679657867085E-2</v>
      </c>
      <c r="I204" s="22">
        <f t="shared" si="17"/>
        <v>9.2132292703421346</v>
      </c>
      <c r="J204" s="16"/>
      <c r="K204" s="16"/>
    </row>
    <row r="205" spans="1:11" x14ac:dyDescent="0.25">
      <c r="A205" s="16">
        <v>60</v>
      </c>
      <c r="B205" s="17" t="s">
        <v>153</v>
      </c>
      <c r="C205" s="22">
        <f>'Input-Rainfall Data'!E22</f>
        <v>24.3</v>
      </c>
      <c r="D205" s="22">
        <f>(('Design calculator'!F$6*'Design calculator'!F$32)+('Design calculator'!F$7*'Design calculator'!F$33)+('Design calculator'!F$9*'Design calculator'!F$34))*C205/3600</f>
        <v>2.8541058750000001</v>
      </c>
      <c r="E205" s="17">
        <f>60*60</f>
        <v>3600</v>
      </c>
      <c r="F205" s="23">
        <f t="shared" si="15"/>
        <v>10274.781150000001</v>
      </c>
      <c r="G205" s="24">
        <f t="shared" si="16"/>
        <v>10.274781150000001</v>
      </c>
      <c r="H205" s="25">
        <f>'Design calculator'!H$50*E205</f>
        <v>6.2344906210489451E-2</v>
      </c>
      <c r="I205" s="22">
        <f t="shared" si="17"/>
        <v>10.212436243789512</v>
      </c>
      <c r="J205" s="16"/>
      <c r="K205" s="16"/>
    </row>
    <row r="206" spans="1:11" x14ac:dyDescent="0.25">
      <c r="A206" s="16">
        <v>90</v>
      </c>
      <c r="B206" s="17" t="s">
        <v>154</v>
      </c>
      <c r="C206" s="22">
        <f>'Input-Rainfall Data'!E23</f>
        <v>18.600000000000001</v>
      </c>
      <c r="D206" s="22">
        <f>(('Design calculator'!F$6*'Design calculator'!F$32)+('Design calculator'!F$7*'Design calculator'!F$33)+('Design calculator'!F$9*'Design calculator'!F$34))*C206/3600</f>
        <v>2.1846242500000006</v>
      </c>
      <c r="E206" s="17">
        <f>1.5*3600</f>
        <v>5400</v>
      </c>
      <c r="F206" s="23">
        <f t="shared" si="15"/>
        <v>11796.970950000003</v>
      </c>
      <c r="G206" s="24">
        <f t="shared" si="16"/>
        <v>11.796970950000002</v>
      </c>
      <c r="H206" s="25">
        <f>'Design calculator'!H$50*E206</f>
        <v>9.3517359315734169E-2</v>
      </c>
      <c r="I206" s="22">
        <f t="shared" si="17"/>
        <v>11.703453590684267</v>
      </c>
      <c r="J206" s="16"/>
      <c r="K206" s="16"/>
    </row>
    <row r="207" spans="1:11" x14ac:dyDescent="0.25">
      <c r="A207" s="16">
        <v>120</v>
      </c>
      <c r="B207" s="17" t="s">
        <v>155</v>
      </c>
      <c r="C207" s="22">
        <f>'Input-Rainfall Data'!E24</f>
        <v>15.4</v>
      </c>
      <c r="D207" s="22">
        <f>(('Design calculator'!F$6*'Design calculator'!F$32)+('Design calculator'!F$7*'Design calculator'!F$33)+('Design calculator'!F$9*'Design calculator'!F$34))*C207/3600</f>
        <v>1.8087749166666669</v>
      </c>
      <c r="E207" s="17">
        <f>2*3600</f>
        <v>7200</v>
      </c>
      <c r="F207" s="23">
        <f t="shared" si="15"/>
        <v>13023.179400000001</v>
      </c>
      <c r="G207" s="24">
        <f t="shared" si="16"/>
        <v>13.0231794</v>
      </c>
      <c r="H207" s="25">
        <f>'Design calculator'!H$50*E207</f>
        <v>0.1246898124209789</v>
      </c>
      <c r="I207" s="22">
        <f t="shared" si="17"/>
        <v>12.898489587579022</v>
      </c>
      <c r="J207" s="16"/>
      <c r="K207" s="16"/>
    </row>
    <row r="208" spans="1:11" x14ac:dyDescent="0.25">
      <c r="A208" s="16">
        <v>180</v>
      </c>
      <c r="B208" s="17" t="s">
        <v>156</v>
      </c>
      <c r="C208" s="22">
        <f>'Input-Rainfall Data'!E25</f>
        <v>11.9</v>
      </c>
      <c r="D208" s="22">
        <f>(('Design calculator'!F$6*'Design calculator'!F$32)+('Design calculator'!F$7*'Design calculator'!F$33)+('Design calculator'!F$9*'Design calculator'!F$34))*C208/3600</f>
        <v>1.3976897083333335</v>
      </c>
      <c r="E208" s="17">
        <f>3*3600</f>
        <v>10800</v>
      </c>
      <c r="F208" s="23">
        <f t="shared" si="15"/>
        <v>15095.048850000001</v>
      </c>
      <c r="G208" s="24">
        <f t="shared" si="16"/>
        <v>15.095048850000001</v>
      </c>
      <c r="H208" s="25">
        <f>'Design calculator'!H$50*E208</f>
        <v>0.18703471863146834</v>
      </c>
      <c r="I208" s="22">
        <f t="shared" si="17"/>
        <v>14.908014131368533</v>
      </c>
      <c r="J208" s="16"/>
      <c r="K208" s="16"/>
    </row>
    <row r="209" spans="1:11" x14ac:dyDescent="0.25">
      <c r="A209" s="16">
        <v>270</v>
      </c>
      <c r="B209" s="17" t="s">
        <v>157</v>
      </c>
      <c r="C209" s="22">
        <f>'Input-Rainfall Data'!E26</f>
        <v>9.14</v>
      </c>
      <c r="D209" s="22">
        <f>(('Design calculator'!F$6*'Design calculator'!F$32)+('Design calculator'!F$7*'Design calculator'!F$33)+('Design calculator'!F$9*'Design calculator'!F$34))*C209/3600</f>
        <v>1.0735196583333335</v>
      </c>
      <c r="E209" s="17">
        <f>4.5*3600</f>
        <v>16200</v>
      </c>
      <c r="F209" s="23">
        <f t="shared" si="15"/>
        <v>17391.018465000005</v>
      </c>
      <c r="G209" s="24">
        <f t="shared" si="16"/>
        <v>17.391018465000005</v>
      </c>
      <c r="H209" s="25">
        <f>'Design calculator'!H$50*E209</f>
        <v>0.28055207794720249</v>
      </c>
      <c r="I209" s="22">
        <f t="shared" si="17"/>
        <v>17.110466387052803</v>
      </c>
      <c r="J209" s="16"/>
      <c r="K209" s="16"/>
    </row>
    <row r="210" spans="1:11" x14ac:dyDescent="0.25">
      <c r="A210" s="16">
        <v>360</v>
      </c>
      <c r="B210" s="17" t="s">
        <v>158</v>
      </c>
      <c r="C210" s="22">
        <f>'Input-Rainfall Data'!E27</f>
        <v>7.6</v>
      </c>
      <c r="D210" s="22">
        <f>(('Design calculator'!F$6*'Design calculator'!F$32)+('Design calculator'!F$7*'Design calculator'!F$33)+('Design calculator'!F$9*'Design calculator'!F$34))*C210/3600</f>
        <v>0.89264216666666674</v>
      </c>
      <c r="E210" s="17">
        <f>6*3600</f>
        <v>21600</v>
      </c>
      <c r="F210" s="23">
        <f t="shared" si="15"/>
        <v>19281.070800000001</v>
      </c>
      <c r="G210" s="24">
        <f t="shared" si="16"/>
        <v>19.281070800000002</v>
      </c>
      <c r="H210" s="25">
        <f>'Design calculator'!H$50*E210</f>
        <v>0.37406943726293668</v>
      </c>
      <c r="I210" s="22">
        <f t="shared" si="17"/>
        <v>18.907001362737066</v>
      </c>
      <c r="J210" s="16"/>
      <c r="K210" s="16"/>
    </row>
    <row r="211" spans="1:11" x14ac:dyDescent="0.25">
      <c r="A211" s="16">
        <v>540</v>
      </c>
      <c r="B211" s="17" t="s">
        <v>159</v>
      </c>
      <c r="C211" s="22">
        <f>'Input-Rainfall Data'!E28</f>
        <v>5.85</v>
      </c>
      <c r="D211" s="22">
        <f>(('Design calculator'!F$6*'Design calculator'!F$32)+('Design calculator'!F$7*'Design calculator'!F$33)+('Design calculator'!F$9*'Design calculator'!F$34))*C211/3600</f>
        <v>0.68709956250000004</v>
      </c>
      <c r="E211" s="17">
        <f>9*3600</f>
        <v>32400</v>
      </c>
      <c r="F211" s="23">
        <f t="shared" si="15"/>
        <v>22262.025825000001</v>
      </c>
      <c r="G211" s="24">
        <f t="shared" si="16"/>
        <v>22.262025825000002</v>
      </c>
      <c r="H211" s="25">
        <f>'Design calculator'!H$50*E211</f>
        <v>0.56110415589440499</v>
      </c>
      <c r="I211" s="22">
        <f t="shared" si="17"/>
        <v>21.700921669105597</v>
      </c>
      <c r="J211" s="16"/>
      <c r="K211" s="16"/>
    </row>
    <row r="212" spans="1:11" x14ac:dyDescent="0.25">
      <c r="A212" s="16">
        <v>720</v>
      </c>
      <c r="B212" s="17" t="s">
        <v>160</v>
      </c>
      <c r="C212" s="22">
        <f>'Input-Rainfall Data'!E29</f>
        <v>4.8600000000000003</v>
      </c>
      <c r="D212" s="22">
        <f>(('Design calculator'!F$6*'Design calculator'!F$32)+('Design calculator'!F$7*'Design calculator'!F$33)+('Design calculator'!F$9*'Design calculator'!F$34))*C212/3600</f>
        <v>0.57082117500000007</v>
      </c>
      <c r="E212" s="17">
        <f>12*3600</f>
        <v>43200</v>
      </c>
      <c r="F212" s="23">
        <f t="shared" si="15"/>
        <v>24659.474760000005</v>
      </c>
      <c r="G212" s="24">
        <f t="shared" si="16"/>
        <v>24.659474760000005</v>
      </c>
      <c r="H212" s="25">
        <f>'Design calculator'!H$50*E212</f>
        <v>0.74813887452587335</v>
      </c>
      <c r="I212" s="22">
        <f t="shared" si="17"/>
        <v>23.911335885474131</v>
      </c>
      <c r="J212" s="16"/>
      <c r="K212" s="16"/>
    </row>
    <row r="213" spans="1:11" x14ac:dyDescent="0.25">
      <c r="A213" s="16">
        <v>1080</v>
      </c>
      <c r="B213" s="17" t="s">
        <v>161</v>
      </c>
      <c r="C213" s="22">
        <f>'Input-Rainfall Data'!E30</f>
        <v>3.72</v>
      </c>
      <c r="D213" s="22">
        <f>(('Design calculator'!F$6*'Design calculator'!F$32)+('Design calculator'!F$7*'Design calculator'!F$33)+('Design calculator'!F$9*'Design calculator'!F$34))*C213/3600</f>
        <v>0.43692485000000009</v>
      </c>
      <c r="E213" s="17">
        <f>18*3600</f>
        <v>64800</v>
      </c>
      <c r="F213" s="23">
        <f t="shared" si="15"/>
        <v>28312.730280000007</v>
      </c>
      <c r="G213" s="24">
        <f t="shared" si="16"/>
        <v>28.312730280000007</v>
      </c>
      <c r="H213" s="25">
        <f>'Design calculator'!H$50*E213</f>
        <v>1.12220831178881</v>
      </c>
      <c r="I213" s="22">
        <f t="shared" si="17"/>
        <v>27.190521968211197</v>
      </c>
      <c r="J213" s="16"/>
      <c r="K213" s="16"/>
    </row>
    <row r="214" spans="1:11" x14ac:dyDescent="0.25">
      <c r="A214" s="16">
        <v>1440</v>
      </c>
      <c r="B214" s="17" t="s">
        <v>162</v>
      </c>
      <c r="C214" s="22">
        <f>'Input-Rainfall Data'!E31</f>
        <v>3.06</v>
      </c>
      <c r="D214" s="22">
        <f>(('Design calculator'!F$6*'Design calculator'!F$32)+('Design calculator'!F$7*'Design calculator'!F$33)+('Design calculator'!F$9*'Design calculator'!F$34))*C214/3600</f>
        <v>0.35940592500000007</v>
      </c>
      <c r="E214" s="17">
        <f>24*3600</f>
        <v>86400</v>
      </c>
      <c r="F214" s="23">
        <f t="shared" si="15"/>
        <v>31052.671920000004</v>
      </c>
      <c r="G214" s="24">
        <f t="shared" si="16"/>
        <v>31.052671920000005</v>
      </c>
      <c r="H214" s="25">
        <f>'Design calculator'!H$50*E214</f>
        <v>1.4962777490517467</v>
      </c>
      <c r="I214" s="22">
        <f t="shared" si="17"/>
        <v>29.556394170948259</v>
      </c>
      <c r="J214" s="16"/>
      <c r="K214" s="16"/>
    </row>
    <row r="215" spans="1:11" x14ac:dyDescent="0.25">
      <c r="A215" s="16">
        <v>1800</v>
      </c>
      <c r="B215" s="17" t="s">
        <v>163</v>
      </c>
      <c r="C215" s="22">
        <f>'Input-Rainfall Data'!E32</f>
        <v>2.63</v>
      </c>
      <c r="D215" s="22">
        <f>(('Design calculator'!F$6*'Design calculator'!F$32)+('Design calculator'!F$7*'Design calculator'!F$33)+('Design calculator'!F$9*'Design calculator'!F$34))*C215/3600</f>
        <v>0.30890117083333335</v>
      </c>
      <c r="E215" s="17">
        <f>30*3600</f>
        <v>108000</v>
      </c>
      <c r="F215" s="23">
        <f t="shared" si="15"/>
        <v>33361.32645</v>
      </c>
      <c r="G215" s="24">
        <f t="shared" si="16"/>
        <v>33.36132645</v>
      </c>
      <c r="H215" s="25">
        <f>'Design calculator'!H$50*E215</f>
        <v>1.8703471863146834</v>
      </c>
      <c r="I215" s="22">
        <f t="shared" si="17"/>
        <v>31.490979263685318</v>
      </c>
      <c r="J215" s="16"/>
      <c r="K215" s="16"/>
    </row>
    <row r="216" spans="1:11" x14ac:dyDescent="0.25">
      <c r="A216" s="16">
        <v>2160</v>
      </c>
      <c r="B216" s="17" t="s">
        <v>164</v>
      </c>
      <c r="C216" s="22">
        <f>'Input-Rainfall Data'!E33</f>
        <v>2.3199999999999998</v>
      </c>
      <c r="D216" s="22">
        <f>(('Design calculator'!F$6*'Design calculator'!F$32)+('Design calculator'!F$7*'Design calculator'!F$33)+('Design calculator'!F$9*'Design calculator'!F$34))*C216/3600</f>
        <v>0.27249076666666666</v>
      </c>
      <c r="E216" s="17">
        <f>36*3600</f>
        <v>129600</v>
      </c>
      <c r="F216" s="23">
        <f t="shared" si="15"/>
        <v>35314.803359999998</v>
      </c>
      <c r="G216" s="24">
        <f t="shared" si="16"/>
        <v>35.314803359999999</v>
      </c>
      <c r="H216" s="25">
        <f>'Design calculator'!H$50*E216</f>
        <v>2.24441662357762</v>
      </c>
      <c r="I216" s="22">
        <f t="shared" si="17"/>
        <v>33.070386736422378</v>
      </c>
      <c r="J216" s="16"/>
      <c r="K216" s="16"/>
    </row>
    <row r="217" spans="1:11" x14ac:dyDescent="0.25">
      <c r="A217" s="16">
        <v>2880</v>
      </c>
      <c r="B217" s="17" t="s">
        <v>165</v>
      </c>
      <c r="C217" s="22">
        <f>'Input-Rainfall Data'!E34</f>
        <v>1.89</v>
      </c>
      <c r="D217" s="22">
        <f>(('Design calculator'!F$6*'Design calculator'!F$32)+('Design calculator'!F$7*'Design calculator'!F$33)+('Design calculator'!F$9*'Design calculator'!F$34))*C217/3600</f>
        <v>0.2219860125</v>
      </c>
      <c r="E217" s="17">
        <f>48*3600</f>
        <v>172800</v>
      </c>
      <c r="F217" s="23">
        <f t="shared" si="15"/>
        <v>38359.182959999998</v>
      </c>
      <c r="G217" s="24">
        <f t="shared" si="16"/>
        <v>38.359182959999998</v>
      </c>
      <c r="H217" s="25">
        <f>'Design calculator'!H$50*E217</f>
        <v>2.9925554981034934</v>
      </c>
      <c r="I217" s="22">
        <f t="shared" si="17"/>
        <v>35.366627461896506</v>
      </c>
      <c r="J217" s="16"/>
      <c r="K217" s="16"/>
    </row>
    <row r="218" spans="1:11" x14ac:dyDescent="0.25">
      <c r="A218" s="16">
        <v>4320</v>
      </c>
      <c r="B218" s="17" t="s">
        <v>166</v>
      </c>
      <c r="C218" s="22">
        <f>'Input-Rainfall Data'!E35</f>
        <v>1.43</v>
      </c>
      <c r="D218" s="22">
        <f>(('Design calculator'!F$6*'Design calculator'!F$32)+('Design calculator'!F$7*'Design calculator'!F$33)+('Design calculator'!F$9*'Design calculator'!F$34))*C218/3600</f>
        <v>0.16795767083333332</v>
      </c>
      <c r="E218" s="17">
        <f>72*3600</f>
        <v>259200</v>
      </c>
      <c r="F218" s="23">
        <f t="shared" si="15"/>
        <v>43534.628279999997</v>
      </c>
      <c r="G218" s="24">
        <f t="shared" si="16"/>
        <v>43.53462828</v>
      </c>
      <c r="H218" s="25">
        <f>'Design calculator'!H$50*E218</f>
        <v>4.4888332471552399</v>
      </c>
      <c r="I218" s="22">
        <f t="shared" si="17"/>
        <v>39.045795032844758</v>
      </c>
      <c r="J218" s="16"/>
      <c r="K218" s="16"/>
    </row>
    <row r="219" spans="1:11" x14ac:dyDescent="0.25">
      <c r="A219" s="16">
        <v>5760</v>
      </c>
      <c r="B219" s="17" t="s">
        <v>167</v>
      </c>
      <c r="C219" s="22">
        <f>'Input-Rainfall Data'!E36</f>
        <v>1.17</v>
      </c>
      <c r="D219" s="22">
        <f>(('Design calculator'!F$6*'Design calculator'!F$32)+('Design calculator'!F$7*'Design calculator'!F$33)+('Design calculator'!F$9*'Design calculator'!F$34))*C219/3600</f>
        <v>0.13741991249999999</v>
      </c>
      <c r="E219" s="17">
        <f>96*3600</f>
        <v>345600</v>
      </c>
      <c r="F219" s="23">
        <f t="shared" si="15"/>
        <v>47492.321759999999</v>
      </c>
      <c r="G219" s="24">
        <f t="shared" si="16"/>
        <v>47.492321759999996</v>
      </c>
      <c r="H219" s="25">
        <f>'Design calculator'!H$50*E219</f>
        <v>5.9851109962069868</v>
      </c>
      <c r="I219" s="22">
        <f t="shared" si="17"/>
        <v>41.507210763793012</v>
      </c>
      <c r="J219" s="16"/>
      <c r="K219" s="16"/>
    </row>
    <row r="220" spans="1:11" x14ac:dyDescent="0.25">
      <c r="A220" s="16">
        <v>7200</v>
      </c>
      <c r="B220" s="17" t="s">
        <v>168</v>
      </c>
      <c r="C220" s="22">
        <f>'Input-Rainfall Data'!E37</f>
        <v>1.01</v>
      </c>
      <c r="D220" s="22">
        <f>(('Design calculator'!F$6*'Design calculator'!F$32)+('Design calculator'!F$7*'Design calculator'!F$33)+('Design calculator'!F$9*'Design calculator'!F$34))*C220/3600</f>
        <v>0.11862744583333333</v>
      </c>
      <c r="E220" s="17">
        <f>120*3600</f>
        <v>432000</v>
      </c>
      <c r="F220" s="23">
        <f t="shared" si="15"/>
        <v>51247.056599999996</v>
      </c>
      <c r="G220" s="24">
        <f t="shared" si="16"/>
        <v>51.247056599999993</v>
      </c>
      <c r="H220" s="25">
        <f>'Design calculator'!H$50*E220</f>
        <v>7.4813887452587338</v>
      </c>
      <c r="I220" s="22">
        <f t="shared" si="17"/>
        <v>43.76566785474126</v>
      </c>
      <c r="J220" s="16"/>
      <c r="K220" s="16"/>
    </row>
    <row r="221" spans="1:11" x14ac:dyDescent="0.25">
      <c r="A221" s="16">
        <v>8640</v>
      </c>
      <c r="B221" s="17" t="s">
        <v>169</v>
      </c>
      <c r="C221" s="22">
        <f>'Input-Rainfall Data'!E38</f>
        <v>0.90700000000000003</v>
      </c>
      <c r="D221" s="22">
        <f>(('Design calculator'!F$6*'Design calculator'!F$32)+('Design calculator'!F$7*'Design calculator'!F$33)+('Design calculator'!F$9*'Design calculator'!F$34))*C221/3600</f>
        <v>0.10652979541666667</v>
      </c>
      <c r="E221" s="17">
        <f>144*3600</f>
        <v>518400</v>
      </c>
      <c r="F221" s="23">
        <f t="shared" si="15"/>
        <v>55225.045944000005</v>
      </c>
      <c r="G221" s="24">
        <f t="shared" si="16"/>
        <v>55.225045944000001</v>
      </c>
      <c r="H221" s="25">
        <f>'Design calculator'!H$50*E221</f>
        <v>8.9776664943104798</v>
      </c>
      <c r="I221" s="22">
        <f t="shared" si="17"/>
        <v>46.247379449689518</v>
      </c>
      <c r="J221" s="16"/>
      <c r="K221" s="16"/>
    </row>
    <row r="222" spans="1:11" x14ac:dyDescent="0.25">
      <c r="A222" s="16">
        <v>10080</v>
      </c>
      <c r="B222" s="17" t="s">
        <v>170</v>
      </c>
      <c r="C222" s="22">
        <f>'Input-Rainfall Data'!E39</f>
        <v>0.83099999999999996</v>
      </c>
      <c r="D222" s="22">
        <f>(('Design calculator'!F$6*'Design calculator'!F$32)+('Design calculator'!F$7*'Design calculator'!F$33)+('Design calculator'!F$9*'Design calculator'!F$34))*C222/3600</f>
        <v>9.760337375E-2</v>
      </c>
      <c r="E222" s="17">
        <f>168*3600</f>
        <v>604800</v>
      </c>
      <c r="F222" s="23">
        <f t="shared" si="15"/>
        <v>59030.520444000002</v>
      </c>
      <c r="G222" s="24">
        <f t="shared" si="16"/>
        <v>59.030520444000004</v>
      </c>
      <c r="H222" s="25">
        <f>'Design calculator'!H$50*E222</f>
        <v>10.473944243362228</v>
      </c>
      <c r="I222" s="22">
        <f t="shared" si="17"/>
        <v>48.556576200637778</v>
      </c>
      <c r="J222" s="16"/>
      <c r="K222" s="16"/>
    </row>
    <row r="223" spans="1:11" x14ac:dyDescent="0.25">
      <c r="A223" s="16"/>
      <c r="B223" s="16"/>
      <c r="C223" s="16"/>
      <c r="D223" s="16"/>
      <c r="E223" s="16"/>
      <c r="F223" s="16"/>
      <c r="G223" s="16"/>
      <c r="H223" s="26" t="s">
        <v>237</v>
      </c>
      <c r="I223" s="27">
        <f>MAX(I194:I222)</f>
        <v>48.556576200637778</v>
      </c>
      <c r="J223" s="16" t="s">
        <v>238</v>
      </c>
      <c r="K223" s="16"/>
    </row>
    <row r="224" spans="1:11" x14ac:dyDescent="0.25">
      <c r="A224" s="16"/>
      <c r="B224" s="16"/>
      <c r="C224" s="16"/>
      <c r="D224" s="16"/>
      <c r="E224" s="16"/>
      <c r="F224" s="16"/>
      <c r="G224" s="16"/>
      <c r="H224" s="26" t="s">
        <v>239</v>
      </c>
      <c r="I224" s="26" t="str">
        <f>INDEX(B194:B222, MATCH(I223, I194:I222, 0))</f>
        <v>168 hour</v>
      </c>
      <c r="J224" s="16"/>
      <c r="K224" s="16"/>
    </row>
    <row r="225" spans="1:11" x14ac:dyDescent="0.25">
      <c r="A225" s="16"/>
      <c r="B225" s="16"/>
      <c r="C225" s="16"/>
      <c r="D225" s="16"/>
      <c r="E225" s="16"/>
      <c r="F225" s="16"/>
      <c r="G225" s="16"/>
      <c r="H225" s="26" t="s">
        <v>240</v>
      </c>
      <c r="I225" s="26">
        <f>INDEX(C194:C222, MATCH(I223, I194:I222, 0))</f>
        <v>0.83099999999999996</v>
      </c>
      <c r="J225" s="16"/>
      <c r="K225" s="16"/>
    </row>
    <row r="226" spans="1:11" x14ac:dyDescent="0.25">
      <c r="A226" s="16"/>
      <c r="B226" s="16"/>
      <c r="C226" s="16"/>
      <c r="D226" s="16"/>
      <c r="E226" s="16"/>
      <c r="F226" s="16"/>
      <c r="G226" s="16"/>
      <c r="H226" s="26" t="s">
        <v>241</v>
      </c>
      <c r="I226" s="27">
        <f>INDEX(D194:D222, MATCH(I223, I194:I222, 0))</f>
        <v>9.760337375E-2</v>
      </c>
      <c r="J226" s="16" t="s">
        <v>242</v>
      </c>
      <c r="K226" s="16"/>
    </row>
    <row r="227" spans="1:11" x14ac:dyDescent="0.25">
      <c r="A227" s="16"/>
      <c r="B227" s="16"/>
      <c r="C227" s="16"/>
      <c r="D227" s="16"/>
      <c r="E227" s="16"/>
      <c r="F227" s="16"/>
      <c r="G227" s="16"/>
      <c r="H227" s="26" t="str">
        <f>'Design calculator'!F$37 &amp; " Minutes Duration="</f>
        <v>60 Minutes Duration=</v>
      </c>
      <c r="I227" s="27">
        <f>_xlfn.XLOOKUP('Design calculator'!F$37,A$41:A$69,I$194:I$222)</f>
        <v>10.212436243789512</v>
      </c>
      <c r="J227" s="16" t="s">
        <v>238</v>
      </c>
      <c r="K227" s="16"/>
    </row>
    <row r="228" spans="1:11" x14ac:dyDescent="0.25">
      <c r="A228" s="16"/>
      <c r="B228" s="16"/>
      <c r="C228" s="16"/>
      <c r="D228" s="16"/>
      <c r="E228" s="16"/>
      <c r="F228" s="16"/>
      <c r="G228" s="16"/>
      <c r="H228" s="16"/>
      <c r="I228" s="16"/>
      <c r="J228" s="16"/>
      <c r="K228" s="16"/>
    </row>
    <row r="229" spans="1:11" x14ac:dyDescent="0.25">
      <c r="A229" s="16"/>
      <c r="B229" s="16"/>
      <c r="C229" s="16"/>
      <c r="D229" s="16"/>
      <c r="E229" s="16"/>
      <c r="F229" s="16"/>
      <c r="G229" s="16"/>
      <c r="H229" s="16"/>
      <c r="I229" s="16"/>
      <c r="J229" s="16"/>
      <c r="K229" s="16"/>
    </row>
  </sheetData>
  <sheetProtection algorithmName="SHA-512" hashValue="FRzPkMG/Z25rQK9Hr7CRvnHwG1MPqj0YpEFROC0LL6uCG/U6VRZgKOEKNv0v5hnRMaqhL2YDm8Qg0huMnBx6bQ==" saltValue="NQjh8G6U8SmVx0cLqKpKPA==" spinCount="100000" sheet="1" objects="1" scenarios="1" selectLockedCells="1" selectUnlockedCells="1"/>
  <mergeCells count="7">
    <mergeCell ref="B154:I154"/>
    <mergeCell ref="B192:I192"/>
    <mergeCell ref="B1:I1"/>
    <mergeCell ref="B76:I76"/>
    <mergeCell ref="B39:I39"/>
    <mergeCell ref="B2:I2"/>
    <mergeCell ref="B115:I11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617BB6712BAD409FE17F818DC77F83" ma:contentTypeVersion="16" ma:contentTypeDescription="Create a new document." ma:contentTypeScope="" ma:versionID="207c18c100b30b162951f06381ff83ac">
  <xsd:schema xmlns:xsd="http://www.w3.org/2001/XMLSchema" xmlns:xs="http://www.w3.org/2001/XMLSchema" xmlns:p="http://schemas.microsoft.com/office/2006/metadata/properties" xmlns:ns2="fb9900e2-5509-4aac-b540-58408d6d6687" xmlns:ns3="12e1d600-e779-4522-b1ac-aa7cd13a33ca" targetNamespace="http://schemas.microsoft.com/office/2006/metadata/properties" ma:root="true" ma:fieldsID="cc4b89dbf0181f9645a1b2bec46b5ae0" ns2:_="" ns3:_="">
    <xsd:import namespace="fb9900e2-5509-4aac-b540-58408d6d6687"/>
    <xsd:import namespace="12e1d600-e779-4522-b1ac-aa7cd13a33c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9900e2-5509-4aac-b540-58408d6d66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7baacbe-c53a-4416-8f54-1ffb035ddc3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Flow_SignoffStatus" ma:index="23"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2e1d600-e779-4522-b1ac-aa7cd13a33c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8c6db83-bd3b-43b0-8a90-944bf1c1514c}" ma:internalName="TaxCatchAll" ma:showField="CatchAllData" ma:web="12e1d600-e779-4522-b1ac-aa7cd13a33ca">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E22059-D88E-4F8F-AB3B-30FC3C4222AA}">
  <ds:schemaRefs>
    <ds:schemaRef ds:uri="http://schemas.microsoft.com/sharepoint/v3/contenttype/forms"/>
  </ds:schemaRefs>
</ds:datastoreItem>
</file>

<file path=customXml/itemProps2.xml><?xml version="1.0" encoding="utf-8"?>
<ds:datastoreItem xmlns:ds="http://schemas.openxmlformats.org/officeDocument/2006/customXml" ds:itemID="{BFE5973D-E357-4548-B74B-E77722D9AE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9900e2-5509-4aac-b540-58408d6d6687"/>
    <ds:schemaRef ds:uri="12e1d600-e779-4522-b1ac-aa7cd13a33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Design calculator</vt:lpstr>
      <vt:lpstr>Input-Rainfall Data</vt:lpstr>
      <vt:lpstr>Design Parameters</vt:lpstr>
      <vt:lpstr>OSD Mass-Curve</vt:lpstr>
      <vt:lpstr>Output-Analysis </vt:lpstr>
      <vt:lpstr>'Design 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Marty Mo</dc:creator>
  <cp:keywords/>
  <dc:description/>
  <cp:lastModifiedBy>Danny Nguyen</cp:lastModifiedBy>
  <cp:revision/>
  <cp:lastPrinted>2025-10-09T05:22:28Z</cp:lastPrinted>
  <dcterms:created xsi:type="dcterms:W3CDTF">2024-08-01T05:17:20Z</dcterms:created>
  <dcterms:modified xsi:type="dcterms:W3CDTF">2026-07-03T02:24:26Z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47414e-80b8-4c08-8295-827998171522_Enabled">
    <vt:lpwstr>true</vt:lpwstr>
  </property>
  <property fmtid="{D5CDD505-2E9C-101B-9397-08002B2CF9AE}" pid="3" name="MSIP_Label_c847414e-80b8-4c08-8295-827998171522_SetDate">
    <vt:lpwstr>2024-08-01T06:10:40Z</vt:lpwstr>
  </property>
  <property fmtid="{D5CDD505-2E9C-101B-9397-08002B2CF9AE}" pid="4" name="MSIP_Label_c847414e-80b8-4c08-8295-827998171522_Method">
    <vt:lpwstr>Standard</vt:lpwstr>
  </property>
  <property fmtid="{D5CDD505-2E9C-101B-9397-08002B2CF9AE}" pid="5" name="MSIP_Label_c847414e-80b8-4c08-8295-827998171522_Name">
    <vt:lpwstr>CoV - Official</vt:lpwstr>
  </property>
  <property fmtid="{D5CDD505-2E9C-101B-9397-08002B2CF9AE}" pid="6" name="MSIP_Label_c847414e-80b8-4c08-8295-827998171522_SiteId">
    <vt:lpwstr>3fa5afdf-64b1-401d-b217-770e86d487cd</vt:lpwstr>
  </property>
  <property fmtid="{D5CDD505-2E9C-101B-9397-08002B2CF9AE}" pid="7" name="MSIP_Label_c847414e-80b8-4c08-8295-827998171522_ActionId">
    <vt:lpwstr>c35e002f-e733-40fe-8347-6a94b28aac52</vt:lpwstr>
  </property>
  <property fmtid="{D5CDD505-2E9C-101B-9397-08002B2CF9AE}" pid="8" name="MSIP_Label_c847414e-80b8-4c08-8295-827998171522_ContentBits">
    <vt:lpwstr>0</vt:lpwstr>
  </property>
</Properties>
</file>